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Y:\GUCON\DIRAF - NORMA EMILSE BONILLA ROJAS\respaldo\CUENTAS\CUENTAS 2017\2017 CUENTAS NORMA\PUBLICACION TURNOS 2017\"/>
    </mc:Choice>
  </mc:AlternateContent>
  <bookViews>
    <workbookView xWindow="0" yWindow="0" windowWidth="24000" windowHeight="8835"/>
  </bookViews>
  <sheets>
    <sheet name="GASTOS GENER CSF" sheetId="2" r:id="rId1"/>
    <sheet name="GASTOS GENER SSF" sheetId="4" r:id="rId2"/>
    <sheet name="GASTOS PERSONAL" sheetId="5" r:id="rId3"/>
    <sheet name="INVERSION" sheetId="6" r:id="rId4"/>
    <sheet name="RESERVA PSTAL" sheetId="3" r:id="rId5"/>
  </sheets>
  <definedNames>
    <definedName name="_xlnm._FilterDatabase" localSheetId="0" hidden="1">'GASTOS GENER CSF'!$A$10:$DE$30</definedName>
    <definedName name="_xlnm._FilterDatabase" localSheetId="1" hidden="1">'GASTOS GENER SSF'!$A$10:$DF$11</definedName>
    <definedName name="_xlnm._FilterDatabase" localSheetId="2" hidden="1">'GASTOS PERSONAL'!$A$10:$DF$15</definedName>
    <definedName name="_xlnm._FilterDatabase" localSheetId="3" hidden="1">INVERSION!$A$10:$DF$12</definedName>
    <definedName name="_xlnm._FilterDatabase" localSheetId="4" hidden="1">'RESERVA PSTAL'!$A$10:$DF$16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3" l="1"/>
  <c r="A24" i="3" s="1"/>
  <c r="A25" i="3" s="1"/>
  <c r="A26" i="3" s="1"/>
  <c r="A27" i="3" s="1"/>
  <c r="A28" i="3" s="1"/>
  <c r="A22" i="3"/>
  <c r="A12" i="3"/>
  <c r="A13" i="3" s="1"/>
  <c r="A14" i="3" s="1"/>
  <c r="A15" i="3" s="1"/>
  <c r="A16" i="3" s="1"/>
  <c r="A17" i="3" s="1"/>
  <c r="J30" i="3"/>
  <c r="J28" i="3"/>
  <c r="J26" i="3"/>
  <c r="J24" i="3"/>
  <c r="H18" i="3"/>
  <c r="J15" i="3"/>
  <c r="J11" i="3"/>
  <c r="H11" i="3"/>
  <c r="A19" i="6"/>
  <c r="A20" i="6"/>
  <c r="A21" i="6"/>
  <c r="A22" i="6"/>
  <c r="J21" i="6"/>
  <c r="J19" i="6"/>
  <c r="J17" i="6"/>
  <c r="J13" i="6"/>
  <c r="J12" i="6"/>
  <c r="J11" i="6"/>
  <c r="A32" i="5"/>
  <c r="A33" i="5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J39" i="5"/>
  <c r="J38" i="5"/>
  <c r="J21" i="5"/>
  <c r="H21" i="5"/>
  <c r="J20" i="5"/>
  <c r="J19" i="5"/>
  <c r="J18" i="5"/>
  <c r="A23" i="4"/>
  <c r="A24" i="4" s="1"/>
  <c r="A25" i="4" s="1"/>
  <c r="A26" i="4" s="1"/>
  <c r="A27" i="4" s="1"/>
  <c r="J27" i="4"/>
  <c r="J19" i="4"/>
  <c r="H19" i="4"/>
  <c r="J16" i="4"/>
  <c r="H16" i="4"/>
  <c r="J85" i="2"/>
  <c r="J62" i="2"/>
  <c r="H62" i="2"/>
  <c r="J61" i="2"/>
  <c r="H61" i="2"/>
  <c r="J60" i="2"/>
  <c r="J59" i="2"/>
  <c r="J56" i="2"/>
  <c r="H56" i="2"/>
  <c r="J54" i="2"/>
  <c r="J53" i="2"/>
  <c r="H53" i="2"/>
  <c r="J45" i="2"/>
  <c r="J43" i="2"/>
  <c r="H43" i="2"/>
  <c r="J40" i="2"/>
  <c r="J39" i="2"/>
  <c r="H39" i="2"/>
  <c r="J38" i="2"/>
  <c r="J36" i="2"/>
  <c r="H36" i="2"/>
  <c r="J35" i="2"/>
  <c r="H35" i="2"/>
  <c r="J33" i="2"/>
  <c r="H26" i="2"/>
  <c r="J21" i="2"/>
  <c r="J17" i="2"/>
  <c r="H17" i="2"/>
  <c r="J13" i="2"/>
  <c r="A12" i="2" l="1"/>
  <c r="A13" i="2" s="1"/>
  <c r="A14" i="2" s="1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36" i="2" l="1"/>
  <c r="A37" i="2" s="1"/>
  <c r="A38" i="2" s="1"/>
  <c r="A39" i="2" s="1"/>
  <c r="A35" i="2"/>
  <c r="A12" i="6"/>
  <c r="A13" i="6" s="1"/>
  <c r="A14" i="6" s="1"/>
  <c r="A15" i="6" s="1"/>
  <c r="A16" i="6" s="1"/>
  <c r="A17" i="6" s="1"/>
  <c r="A18" i="6" s="1"/>
  <c r="A41" i="2" l="1"/>
  <c r="A42" i="2" s="1"/>
  <c r="M12" i="6"/>
  <c r="H9" i="6"/>
  <c r="A43" i="2" l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M12" i="5"/>
  <c r="H9" i="5"/>
  <c r="A29" i="3"/>
  <c r="A30" i="3" s="1"/>
  <c r="A31" i="3" s="1"/>
  <c r="A32" i="3" s="1"/>
  <c r="H9" i="4"/>
  <c r="A58" i="2" l="1"/>
  <c r="A59" i="2" s="1"/>
  <c r="A57" i="2"/>
  <c r="M12" i="3"/>
  <c r="H9" i="3"/>
  <c r="A60" i="2" l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H9" i="2"/>
  <c r="A80" i="2" l="1"/>
  <c r="A81" i="2" s="1"/>
  <c r="A82" i="2" s="1"/>
  <c r="A83" i="2" s="1"/>
  <c r="A84" i="2" s="1"/>
  <c r="A85" i="2" s="1"/>
  <c r="A86" i="2" s="1"/>
  <c r="A77" i="2"/>
  <c r="A78" i="2" s="1"/>
  <c r="A79" i="2" s="1"/>
</calcChain>
</file>

<file path=xl/sharedStrings.xml><?xml version="1.0" encoding="utf-8"?>
<sst xmlns="http://schemas.openxmlformats.org/spreadsheetml/2006/main" count="569" uniqueCount="310">
  <si>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</si>
  <si>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</si>
  <si>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</si>
  <si>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</si>
  <si>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</si>
  <si>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</si>
  <si>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</si>
  <si>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</si>
  <si>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</si>
  <si>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</si>
  <si>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</si>
  <si>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</si>
  <si>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</si>
  <si>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</si>
  <si>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</si>
  <si>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</si>
  <si>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</si>
  <si>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</si>
  <si>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</si>
  <si>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</si>
  <si>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</si>
  <si>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</si>
  <si>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GSTOS GRALES SSF</t>
  </si>
  <si>
    <t>GASTOS GENERALES VIGENCIA 2017</t>
  </si>
  <si>
    <t>RESERVA PRESUPUESTAL VIGENCIA 2017</t>
  </si>
  <si>
    <t>06-7-10174-16</t>
  </si>
  <si>
    <t xml:space="preserve">HHS SUMINISTROS Y SERVIC  HELIODORO SANCHEZ </t>
  </si>
  <si>
    <t>AB CONTROL INGENIERIA</t>
  </si>
  <si>
    <t>COLOMBIA TELECOMUNIC. S.A.</t>
  </si>
  <si>
    <t>06-7-10116-14 adc # 7</t>
  </si>
  <si>
    <t>06-6-10216-16</t>
  </si>
  <si>
    <t>ANULADA</t>
  </si>
  <si>
    <t>INVERSION</t>
  </si>
  <si>
    <t xml:space="preserve">ALIRIO FERNANDO BUSTOS VALENCIA </t>
  </si>
  <si>
    <t xml:space="preserve">MIGUEL ARNULFO  GUTIERREZ </t>
  </si>
  <si>
    <t>JENNY JOHANA OCAMPO CASTAÑEDA</t>
  </si>
  <si>
    <t>GASTOS GENERALES SSF VIGENCIA 2017</t>
  </si>
  <si>
    <t>GASTOS DE PERSONAL VIGENCIA 2017</t>
  </si>
  <si>
    <t>INVERSION VIGENCIA 2017</t>
  </si>
  <si>
    <t>06-7-10001-17</t>
  </si>
  <si>
    <t xml:space="preserve">MARIA ELIANA GUZMAN </t>
  </si>
  <si>
    <t>CTA COBRO # 3</t>
  </si>
  <si>
    <t>06-2-10187-16</t>
  </si>
  <si>
    <t>CONSORCIO SANTA MARTA</t>
  </si>
  <si>
    <t>06-7-10008-17</t>
  </si>
  <si>
    <t>OSCAR DARIO SASTOQUE SUAREZ</t>
  </si>
  <si>
    <t>06-7-10003-17</t>
  </si>
  <si>
    <t>ROSA DE LOS ANGELES AYALA SANCHEZ</t>
  </si>
  <si>
    <t>06-7-10007-17</t>
  </si>
  <si>
    <t xml:space="preserve">OLGA EDILSE PEÑA SIERRA </t>
  </si>
  <si>
    <t>ALBA LUZ MENDEZ PEREZ</t>
  </si>
  <si>
    <t>06-8-10189-15 ADC # 2</t>
  </si>
  <si>
    <t>SUMIMAS SAS</t>
  </si>
  <si>
    <t>AGRICOLA LA BOCATOMA</t>
  </si>
  <si>
    <t>06-7-10164-16</t>
  </si>
  <si>
    <t>SU COMPUTO</t>
  </si>
  <si>
    <t>CONSORCIO INDUCON-SALGARI</t>
  </si>
  <si>
    <t>TECNOFRIO AIRES S.A.S.</t>
  </si>
  <si>
    <t>06-7-10183-16</t>
  </si>
  <si>
    <t xml:space="preserve">CONSORCIO ACG </t>
  </si>
  <si>
    <t xml:space="preserve">06-1-10037-17 </t>
  </si>
  <si>
    <r>
      <t xml:space="preserve">PARALES Y CONCRETOS ETC… </t>
    </r>
    <r>
      <rPr>
        <b/>
        <sz val="7"/>
        <color indexed="10"/>
        <rFont val="Calibri"/>
        <family val="2"/>
      </rPr>
      <t>CTA A NOMBRE DE PARALES Y CONCRETOS bco bogota 615060019</t>
    </r>
  </si>
  <si>
    <t>06-7-10182-16</t>
  </si>
  <si>
    <t>SUZUKI  MOTOR DE C/BIA</t>
  </si>
  <si>
    <t xml:space="preserve">VARIAS </t>
  </si>
  <si>
    <t>06-7-10188-16</t>
  </si>
  <si>
    <t>UT MTO DIRAF</t>
  </si>
  <si>
    <t>ORDEN DE COMPRA 12037</t>
  </si>
  <si>
    <t>ORGANIZACIÓN TERPEL</t>
  </si>
  <si>
    <t>06-8-10211-16</t>
  </si>
  <si>
    <t xml:space="preserve">GAS NATURAL </t>
  </si>
  <si>
    <t>06-7-10192-16</t>
  </si>
  <si>
    <t xml:space="preserve">REIMPODIESEL </t>
  </si>
  <si>
    <t>CTA COBRO 2</t>
  </si>
  <si>
    <t xml:space="preserve">CAMILO ANDRES QUINTERO VITOLA </t>
  </si>
  <si>
    <r>
      <t>01-7-10006-17</t>
    </r>
    <r>
      <rPr>
        <sz val="11"/>
        <color rgb="FFFF0000"/>
        <rFont val="Calibri"/>
        <family val="2"/>
        <scheme val="minor"/>
      </rPr>
      <t xml:space="preserve"> SEGEN</t>
    </r>
  </si>
  <si>
    <t>06-7-10009-17</t>
  </si>
  <si>
    <t xml:space="preserve">CARLOS ENRIQUE GARAVITO </t>
  </si>
  <si>
    <t>06-7-10010-17</t>
  </si>
  <si>
    <t xml:space="preserve">RONALD ALBERTO TORO </t>
  </si>
  <si>
    <t>06-7-10014-17</t>
  </si>
  <si>
    <t xml:space="preserve">BERTHA LUCIA AVENDAÑO </t>
  </si>
  <si>
    <t>06-5-10020-17</t>
  </si>
  <si>
    <t>HUGO FERNANDO RIVERA</t>
  </si>
  <si>
    <r>
      <t>01-7-10001-17</t>
    </r>
    <r>
      <rPr>
        <sz val="11"/>
        <color rgb="FFFF0000"/>
        <rFont val="Calibri"/>
        <family val="2"/>
        <scheme val="minor"/>
      </rPr>
      <t xml:space="preserve"> SEGEN</t>
    </r>
  </si>
  <si>
    <t>CTA COBRO # 5</t>
  </si>
  <si>
    <r>
      <t>01-7-10002-17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</si>
  <si>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01-7-10003-17 </t>
    </r>
    <r>
      <rPr>
        <sz val="11"/>
        <color rgb="FFFF0000"/>
        <rFont val="Calibri"/>
        <family val="2"/>
        <scheme val="minor"/>
      </rPr>
      <t>SEGEN</t>
    </r>
  </si>
  <si>
    <r>
      <t>01-7-10004-17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</si>
  <si>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01-7-10005-17 </t>
    </r>
    <r>
      <rPr>
        <sz val="11"/>
        <color rgb="FFFF0000"/>
        <rFont val="Calibri"/>
        <family val="2"/>
        <scheme val="minor"/>
      </rPr>
      <t>SEGEN</t>
    </r>
  </si>
  <si>
    <t xml:space="preserve">ANTICIPO 20% </t>
  </si>
  <si>
    <t>FERNANDO RAMIREZ</t>
  </si>
  <si>
    <t>001</t>
  </si>
  <si>
    <t>06-2-10186-16</t>
  </si>
  <si>
    <t>UT CINTURON 2016</t>
  </si>
  <si>
    <t>MICROSOFT</t>
  </si>
  <si>
    <t>ELITE GRUPO SAS</t>
  </si>
  <si>
    <t>06-7-10177-16</t>
  </si>
  <si>
    <t>SYSTEMNET INGENIERIA</t>
  </si>
  <si>
    <t>06-5-10191-16</t>
  </si>
  <si>
    <t>IMPRENTA NACIONAL DE C/BIA</t>
  </si>
  <si>
    <t>06-5-10191-16 ADC # 2</t>
  </si>
  <si>
    <t>06-7-10184-16</t>
  </si>
  <si>
    <t>GRAN IMAGEN SAS</t>
  </si>
  <si>
    <t>06-1-10136-16 adc # 1</t>
  </si>
  <si>
    <t>06-7-10172-16 ADC # 1</t>
  </si>
  <si>
    <t>06-1-10076-17</t>
  </si>
  <si>
    <t>EDUARDO PEÑA E HIJOS</t>
  </si>
  <si>
    <t>MANUFACTURAS CADUGI  S.A.S.</t>
  </si>
  <si>
    <t>PENSEMOS S.A.</t>
  </si>
  <si>
    <t>IMPRENTA NAL DE C/BIA</t>
  </si>
  <si>
    <t>CTA COBRO 3</t>
  </si>
  <si>
    <t>06-7-10040-17</t>
  </si>
  <si>
    <t>EDWIN ROBERTO DIAZ JIMENEZ</t>
  </si>
  <si>
    <t>06-7-10048-17</t>
  </si>
  <si>
    <t>GUSTAVO ANDRES RAMIREZ ROBAYO</t>
  </si>
  <si>
    <t>CTA COBRO 4</t>
  </si>
  <si>
    <t>CTA COBRO # 6</t>
  </si>
  <si>
    <t>HERZAIN ALEXANDER CASTAÑEDA</t>
  </si>
  <si>
    <t>CTA COBRO # 1</t>
  </si>
  <si>
    <t>GERMAN OSWALDO MORENO CORREA</t>
  </si>
  <si>
    <t>06-6-10178-16</t>
  </si>
  <si>
    <t>CONSORCIO COMBEIMA</t>
  </si>
  <si>
    <t>03</t>
  </si>
  <si>
    <t>06-6-10203-16</t>
  </si>
  <si>
    <t>CONSORCIO INGENIEROS M</t>
  </si>
  <si>
    <t>06-2-10109-16</t>
  </si>
  <si>
    <t>MODERLINE SAS</t>
  </si>
  <si>
    <t>06-3-10202-16</t>
  </si>
  <si>
    <t>CONSORCIO JASB</t>
  </si>
  <si>
    <t>06-3-10199-16</t>
  </si>
  <si>
    <t>CONSORC. CONSULTORES ANDINOS</t>
  </si>
  <si>
    <t>6</t>
  </si>
  <si>
    <t>06-6-10125-16</t>
  </si>
  <si>
    <t>901011226 A LUDWIG CC # 79865330 CTA #461-169414-22</t>
  </si>
  <si>
    <t xml:space="preserve">CONSORCIO SAN FRANCISCO </t>
  </si>
  <si>
    <t>06-3-10149-16</t>
  </si>
  <si>
    <t>CONSORCIO DOBLE R M&amp;R 78</t>
  </si>
  <si>
    <t>ASIGNACION TURNOS - TRAMITE CUENTAS DE PROVEEDORES - PAGOS AGOSTO Y SEPTIEMBRE 2017</t>
  </si>
  <si>
    <t>06-2-10042-17</t>
  </si>
  <si>
    <t>INFARMED SAS</t>
  </si>
  <si>
    <t>0015</t>
  </si>
  <si>
    <t>06-7-10016-17</t>
  </si>
  <si>
    <t>LANZETA RENGIFO</t>
  </si>
  <si>
    <t>ORDEN DE COMPRA 14076</t>
  </si>
  <si>
    <t>C.I. DISTRIHOGAR S.A.S.</t>
  </si>
  <si>
    <r>
      <t>203517-</t>
    </r>
    <r>
      <rPr>
        <sz val="11"/>
        <rFont val="Calibri"/>
        <family val="2"/>
        <scheme val="minor"/>
      </rPr>
      <t>233917</t>
    </r>
  </si>
  <si>
    <t>87958-961-959-960</t>
  </si>
  <si>
    <r>
      <t>203717-</t>
    </r>
    <r>
      <rPr>
        <sz val="11"/>
        <rFont val="Calibri"/>
        <family val="2"/>
        <scheme val="minor"/>
      </rPr>
      <t>234017</t>
    </r>
  </si>
  <si>
    <t>ORDEN DE COMPRA # 18561</t>
  </si>
  <si>
    <t>AGENCIA GOLDTOUR</t>
  </si>
  <si>
    <t>144722-144721</t>
  </si>
  <si>
    <t>ORDEN DE COMPRA # 17357</t>
  </si>
  <si>
    <t>ALKOSTO S.A.</t>
  </si>
  <si>
    <t>01041637787</t>
  </si>
  <si>
    <t>0729</t>
  </si>
  <si>
    <t>0636</t>
  </si>
  <si>
    <t>835812-5834-5839-5844-5846-5848-5861-5878-588+6-5891-5886-5891-5910-5912-5917-5919-5821-8850-8862-8866-8875-878-8879-8880-8881-8882</t>
  </si>
  <si>
    <t>3</t>
  </si>
  <si>
    <t>06-1-10078-17</t>
  </si>
  <si>
    <t>INVERSIONES MARTINEZ CASTRO Y CIA SAS</t>
  </si>
  <si>
    <t>0663</t>
  </si>
  <si>
    <t>06-7-10073-17</t>
  </si>
  <si>
    <t>COLOMBIA TELECOMUNICACIONES</t>
  </si>
  <si>
    <t>0000022534812 nd# 01586</t>
  </si>
  <si>
    <t>06-2-10043-17</t>
  </si>
  <si>
    <t>FIRMA MIGUEL CABALLERO</t>
  </si>
  <si>
    <t>06-2-10148-16</t>
  </si>
  <si>
    <t>FONDO ROTATORIO PONAL</t>
  </si>
  <si>
    <r>
      <t>225417-</t>
    </r>
    <r>
      <rPr>
        <sz val="11"/>
        <rFont val="Calibri"/>
        <family val="2"/>
        <scheme val="minor"/>
      </rPr>
      <t>245317</t>
    </r>
  </si>
  <si>
    <t>06-2-10148-16 adc # 1</t>
  </si>
  <si>
    <t>X AMORTIZAR</t>
  </si>
  <si>
    <t>06-1-10080-17</t>
  </si>
  <si>
    <t>MARCO TULIO GONZALEZ</t>
  </si>
  <si>
    <t>146859-146858</t>
  </si>
  <si>
    <t>06-7-10176-16 ADC # 1</t>
  </si>
  <si>
    <t>32445-32443- nc # 623</t>
  </si>
  <si>
    <t>6361-6380-6388-6372-6410-6430 nd # 23354</t>
  </si>
  <si>
    <t>6429 nd # 23481</t>
  </si>
  <si>
    <t>06-7-10032-17</t>
  </si>
  <si>
    <t>ORDEN DE COMPRA 16668</t>
  </si>
  <si>
    <t>SERVIASEO S.A.</t>
  </si>
  <si>
    <r>
      <rPr>
        <sz val="11"/>
        <color rgb="FFFF0000"/>
        <rFont val="Calibri"/>
        <family val="2"/>
        <scheme val="minor"/>
      </rPr>
      <t>247917</t>
    </r>
    <r>
      <rPr>
        <sz val="11"/>
        <color theme="1"/>
        <rFont val="Calibri"/>
        <family val="2"/>
        <scheme val="minor"/>
      </rPr>
      <t>-274217</t>
    </r>
  </si>
  <si>
    <t>86019-86291-86308</t>
  </si>
  <si>
    <t>06-7-10005-17</t>
  </si>
  <si>
    <t>GEOSYSTEMS INGENIERIA S.A.S.</t>
  </si>
  <si>
    <t>06-5-10067-17</t>
  </si>
  <si>
    <t>SERV POSTALES NAL.</t>
  </si>
  <si>
    <t>35796-35753</t>
  </si>
  <si>
    <t>06-7-10027-17</t>
  </si>
  <si>
    <t>PENSEMOS SA.</t>
  </si>
  <si>
    <t>0712</t>
  </si>
  <si>
    <t>860102-860112-0116-0125-0132-0111-0143-0144-0145-0146-0147-0148-0149-871882-1881-1880-1879-1878-1877-1876-1875-1874-869082</t>
  </si>
  <si>
    <t>06-5-10028-17</t>
  </si>
  <si>
    <t>INDUMIL</t>
  </si>
  <si>
    <t>9000024394</t>
  </si>
  <si>
    <r>
      <t xml:space="preserve">06-2-10022-17 </t>
    </r>
    <r>
      <rPr>
        <b/>
        <sz val="10"/>
        <color indexed="10"/>
        <rFont val="Calibri"/>
        <family val="2"/>
      </rPr>
      <t>CTATO CON CESION DERCHS ECON, A MACROPARTES NIT 900,110,012</t>
    </r>
  </si>
  <si>
    <t>UT REDIMAC -LLANTAS A NOMBRE DE MACROPARTES CC # 900,110,012-5</t>
  </si>
  <si>
    <t>55808-22531146 ND # 01587</t>
  </si>
  <si>
    <t>149352-149351</t>
  </si>
  <si>
    <t>ORDEN DE COMPRA # 17356</t>
  </si>
  <si>
    <t>ESPUMADOS SA</t>
  </si>
  <si>
    <t>00345333 ND # 300010198</t>
  </si>
  <si>
    <t>6426-6427-6828-6432 nd# 0023477</t>
  </si>
  <si>
    <t>06-7-10031-17</t>
  </si>
  <si>
    <t xml:space="preserve">DIGITAL CENTER VENTAS </t>
  </si>
  <si>
    <t>06-8-10047-17</t>
  </si>
  <si>
    <t>HACIENDA FLORAL Y/O LUZ ADRIANA SANABRIA REYES</t>
  </si>
  <si>
    <t>0119-0122</t>
  </si>
  <si>
    <t>0738</t>
  </si>
  <si>
    <t>6435-6437</t>
  </si>
  <si>
    <t>06-2-10135-16</t>
  </si>
  <si>
    <t>JUAN CARLOS PERZ INSUMOS DE MODA</t>
  </si>
  <si>
    <t>4134-4142</t>
  </si>
  <si>
    <t>1291-912-913-914-917-918-19-920-21-922-923-924-925-926-927-927</t>
  </si>
  <si>
    <t>06-2-10052-17</t>
  </si>
  <si>
    <t>GESCOM LTDA</t>
  </si>
  <si>
    <t>0652</t>
  </si>
  <si>
    <t>0000022799505 nd# 01589</t>
  </si>
  <si>
    <t>06-2-10043-17 ADC # 1</t>
  </si>
  <si>
    <t>0665</t>
  </si>
  <si>
    <t>06-2-10051-17</t>
  </si>
  <si>
    <t xml:space="preserve">SAIG INGENIERIA </t>
  </si>
  <si>
    <t>SIS 117</t>
  </si>
  <si>
    <t>ORDEN DE COMPRA 14081</t>
  </si>
  <si>
    <t>06-2-10083-17</t>
  </si>
  <si>
    <t>FIRMA IDENTICO  SAS</t>
  </si>
  <si>
    <t>06-7-10091-17</t>
  </si>
  <si>
    <t>DATEXCO COMPANY SA</t>
  </si>
  <si>
    <t>FCS 32984-32981-32973  NC, 639</t>
  </si>
  <si>
    <t>10-12</t>
  </si>
  <si>
    <t>06-2-10134-16</t>
  </si>
  <si>
    <r>
      <t xml:space="preserve">CONSORCIO ALTEL 2016 </t>
    </r>
    <r>
      <rPr>
        <b/>
        <sz val="8"/>
        <color indexed="10"/>
        <rFont val="Calibri"/>
        <family val="2"/>
      </rPr>
      <t>CESION DERC. ECONOMICOS</t>
    </r>
  </si>
  <si>
    <t>AL 3</t>
  </si>
  <si>
    <t>valor amortizar</t>
  </si>
  <si>
    <r>
      <t>203617-</t>
    </r>
    <r>
      <rPr>
        <sz val="11"/>
        <rFont val="Calibri"/>
        <family val="2"/>
        <scheme val="minor"/>
      </rPr>
      <t>234117</t>
    </r>
  </si>
  <si>
    <t>06-2-10046-17</t>
  </si>
  <si>
    <t>SANDY NARVAEZ YOSA</t>
  </si>
  <si>
    <t>1949-1962</t>
  </si>
  <si>
    <t>06-7-10066-17</t>
  </si>
  <si>
    <t>IMÁGENES SIA SAS</t>
  </si>
  <si>
    <r>
      <rPr>
        <sz val="11"/>
        <color rgb="FFFF0000"/>
        <rFont val="Calibri"/>
        <family val="2"/>
        <scheme val="minor"/>
      </rPr>
      <t>248017</t>
    </r>
    <r>
      <rPr>
        <sz val="11"/>
        <color theme="1"/>
        <rFont val="Calibri"/>
        <family val="2"/>
        <scheme val="minor"/>
      </rPr>
      <t>-274317</t>
    </r>
  </si>
  <si>
    <r>
      <t xml:space="preserve">01-710010-17 </t>
    </r>
    <r>
      <rPr>
        <sz val="11"/>
        <color rgb="FFFF0000"/>
        <rFont val="Calibri"/>
        <family val="2"/>
        <scheme val="minor"/>
      </rPr>
      <t>SEGEN</t>
    </r>
  </si>
  <si>
    <r>
      <t xml:space="preserve">80149193  </t>
    </r>
    <r>
      <rPr>
        <sz val="11"/>
        <color rgb="FFFF0000"/>
        <rFont val="Calibri"/>
        <family val="2"/>
        <scheme val="minor"/>
      </rPr>
      <t>cta bancolombia</t>
    </r>
  </si>
  <si>
    <t>CARLOS ALFREDO GUEVARA MORENO</t>
  </si>
  <si>
    <t>ACEPTACION OFERTA 002 2017</t>
  </si>
  <si>
    <t xml:space="preserve">ORGANIZACIÓN ASTM INTERNATIONAL </t>
  </si>
  <si>
    <t>NO APLICA</t>
  </si>
  <si>
    <t>ACEPT. OFERTA 003 2017</t>
  </si>
  <si>
    <t>ASSOCIATION OF TEXTILE</t>
  </si>
  <si>
    <t>CTA COBRO # 4</t>
  </si>
  <si>
    <t>06-7-10006-17</t>
  </si>
  <si>
    <t>GUILLERMO ANDRES MELO MEDINA</t>
  </si>
  <si>
    <t>113-115</t>
  </si>
  <si>
    <t>CTA COBRO  # 3</t>
  </si>
  <si>
    <t>CTA COBRO # 7</t>
  </si>
  <si>
    <r>
      <t>01-7-10007-17</t>
    </r>
    <r>
      <rPr>
        <sz val="11"/>
        <color rgb="FFFF0000"/>
        <rFont val="Calibri"/>
        <family val="2"/>
        <scheme val="minor"/>
      </rPr>
      <t xml:space="preserve"> SEGEN</t>
    </r>
  </si>
  <si>
    <t>CTA COBRO # 2</t>
  </si>
  <si>
    <r>
      <t>01-7-10008-17</t>
    </r>
    <r>
      <rPr>
        <sz val="11"/>
        <color rgb="FFFF0000"/>
        <rFont val="Calibri"/>
        <family val="2"/>
        <scheme val="minor"/>
      </rPr>
      <t xml:space="preserve"> SEGEN</t>
    </r>
  </si>
  <si>
    <t>CTA COBRO 5</t>
  </si>
  <si>
    <r>
      <t xml:space="preserve">01-7-10010-17 </t>
    </r>
    <r>
      <rPr>
        <sz val="11"/>
        <color rgb="FFFF0000"/>
        <rFont val="Calibri"/>
        <family val="2"/>
        <scheme val="minor"/>
      </rPr>
      <t>SEGEN</t>
    </r>
  </si>
  <si>
    <t>CTA COBRO  # 4</t>
  </si>
  <si>
    <t>CTA COBRO 6</t>
  </si>
  <si>
    <t>CTA COBRO # 8</t>
  </si>
  <si>
    <t>06-6-10063-17</t>
  </si>
  <si>
    <t>CONSORCIO GENESIS</t>
  </si>
  <si>
    <t>06-6-10018-17</t>
  </si>
  <si>
    <t>CONSORCIO LA VEGA</t>
  </si>
  <si>
    <t>003</t>
  </si>
  <si>
    <t>06-3-10015-17</t>
  </si>
  <si>
    <t>ACUERDO DE VENTA # 004738</t>
  </si>
  <si>
    <t>MINISTER. DEFENSA ISRAEL</t>
  </si>
  <si>
    <t>PAGO ANTICIPADO 50%</t>
  </si>
  <si>
    <t>06-6-10061-17</t>
  </si>
  <si>
    <t>CONSORCIO F3</t>
  </si>
  <si>
    <t xml:space="preserve">ANTICIPO 50% </t>
  </si>
  <si>
    <t>06-6-10030-17</t>
  </si>
  <si>
    <t>06-3-10013-17</t>
  </si>
  <si>
    <t>INGENIERIA DE PROYECTOS  S.A.S.</t>
  </si>
  <si>
    <t>06-6-10034-17</t>
  </si>
  <si>
    <t>CONSOR, INFRAESTRUCTURA  IBAGUE</t>
  </si>
  <si>
    <t>1</t>
  </si>
  <si>
    <t>06-6-10176-15</t>
  </si>
  <si>
    <t>CONSORCIO DOBLE AA</t>
  </si>
  <si>
    <t>06-2-10041-17</t>
  </si>
  <si>
    <t>EAGLE COMERCIAL</t>
  </si>
  <si>
    <r>
      <t xml:space="preserve">CONSORCIO JASB  </t>
    </r>
    <r>
      <rPr>
        <sz val="11"/>
        <color indexed="10"/>
        <rFont val="Calibri"/>
        <family val="2"/>
        <scheme val="minor"/>
      </rPr>
      <t>A CUENTA DE JOGE A. SANCHEZ C</t>
    </r>
    <r>
      <rPr>
        <b/>
        <sz val="11"/>
        <color indexed="10"/>
        <rFont val="Calibri"/>
        <family val="2"/>
        <scheme val="minor"/>
      </rPr>
      <t>C# 79785874</t>
    </r>
  </si>
  <si>
    <t>06-6-10163-16</t>
  </si>
  <si>
    <t>CONSOR,SAN AGUSTIN</t>
  </si>
  <si>
    <t>7-8</t>
  </si>
  <si>
    <t>06-3-10139-16</t>
  </si>
  <si>
    <t>UT INTERVENTORIA PUMA</t>
  </si>
  <si>
    <t>002</t>
  </si>
  <si>
    <t>06-2-10105-16</t>
  </si>
  <si>
    <t>UT. ITO SOFTAWARE-ARGUS</t>
  </si>
  <si>
    <t xml:space="preserve">06-7-10088-16 </t>
  </si>
  <si>
    <t xml:space="preserve">ASOC. GESTION HUMANA - ACRIP </t>
  </si>
  <si>
    <t>5</t>
  </si>
  <si>
    <t>06-7-10096-16</t>
  </si>
  <si>
    <t xml:space="preserve">EVOLUTION OUTSOURCING S.A.S. </t>
  </si>
  <si>
    <t>0275</t>
  </si>
  <si>
    <t>14941-14942-14950-14951</t>
  </si>
  <si>
    <t>06-2-10109-16 ADC # 1</t>
  </si>
  <si>
    <t>06-3-10172-15</t>
  </si>
  <si>
    <t xml:space="preserve">CONSORCIO SAN ANDRES </t>
  </si>
  <si>
    <t>06-7-10100-16</t>
  </si>
  <si>
    <t>0711</t>
  </si>
  <si>
    <t>9</t>
  </si>
  <si>
    <t>10-11</t>
  </si>
  <si>
    <t>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</si>
</sst>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b/>
      <sz val="7"/>
      <color indexed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10"/>
      <color theme="1"/>
      <name val="Segoe U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b/>
      <sz val="8"/>
      <color indexed="10"/>
      <name val="Calibri"/>
      <family val="2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11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Fill="1" applyBorder="1"/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43" fontId="14" fillId="3" borderId="0" xfId="1" applyNumberFormat="1" applyFont="1" applyFill="1" applyAlignment="1">
      <alignment horizontal="center"/>
    </xf>
    <xf numFmtId="43" fontId="14" fillId="5" borderId="0" xfId="1" applyNumberFormat="1" applyFont="1" applyFill="1" applyAlignment="1">
      <alignment horizontal="center"/>
    </xf>
    <xf numFmtId="0" fontId="3" fillId="7" borderId="1" xfId="0" applyFont="1" applyFill="1" applyBorder="1"/>
    <xf numFmtId="0" fontId="16" fillId="7" borderId="0" xfId="0" applyFont="1" applyFill="1"/>
    <xf numFmtId="0" fontId="3" fillId="0" borderId="1" xfId="0" quotePrefix="1" applyFont="1" applyFill="1" applyBorder="1" applyAlignment="1">
      <alignment horizontal="center" wrapText="1"/>
    </xf>
    <xf numFmtId="0" fontId="0" fillId="5" borderId="1" xfId="0" applyFill="1" applyBorder="1"/>
    <xf numFmtId="0" fontId="15" fillId="0" borderId="1" xfId="0" quotePrefix="1" applyFont="1" applyFill="1" applyBorder="1" applyAlignment="1">
      <alignment horizontal="center"/>
    </xf>
    <xf numFmtId="0" fontId="3" fillId="0" borderId="0" xfId="0" applyFont="1" applyFill="1"/>
    <xf numFmtId="0" fontId="3" fillId="0" borderId="3" xfId="0" applyFont="1" applyFill="1" applyBorder="1" applyAlignment="1"/>
    <xf numFmtId="167" fontId="0" fillId="0" borderId="0" xfId="7" applyNumberFormat="1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/>
    <xf numFmtId="15" fontId="0" fillId="0" borderId="1" xfId="0" applyNumberFormat="1" applyFill="1" applyBorder="1"/>
    <xf numFmtId="0" fontId="3" fillId="0" borderId="2" xfId="0" applyFont="1" applyFill="1" applyBorder="1"/>
    <xf numFmtId="1" fontId="3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1" fontId="0" fillId="0" borderId="1" xfId="0" quotePrefix="1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15" fontId="3" fillId="7" borderId="1" xfId="0" applyNumberFormat="1" applyFont="1" applyFill="1" applyBorder="1" applyAlignment="1">
      <alignment horizontal="right"/>
    </xf>
    <xf numFmtId="14" fontId="3" fillId="7" borderId="1" xfId="0" applyNumberFormat="1" applyFont="1" applyFill="1" applyBorder="1"/>
    <xf numFmtId="0" fontId="0" fillId="0" borderId="1" xfId="0" applyFill="1" applyBorder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7" borderId="1" xfId="0" applyFill="1" applyBorder="1"/>
    <xf numFmtId="15" fontId="3" fillId="7" borderId="1" xfId="0" applyNumberFormat="1" applyFont="1" applyFill="1" applyBorder="1"/>
    <xf numFmtId="0" fontId="3" fillId="7" borderId="1" xfId="0" applyFont="1" applyFill="1" applyBorder="1" applyAlignment="1">
      <alignment horizontal="right"/>
    </xf>
    <xf numFmtId="0" fontId="3" fillId="7" borderId="1" xfId="0" applyFont="1" applyFill="1" applyBorder="1"/>
    <xf numFmtId="0" fontId="10" fillId="0" borderId="1" xfId="0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wrapText="1"/>
    </xf>
    <xf numFmtId="0" fontId="3" fillId="7" borderId="1" xfId="0" quotePrefix="1" applyFont="1" applyFill="1" applyBorder="1" applyAlignment="1">
      <alignment horizontal="center"/>
    </xf>
    <xf numFmtId="0" fontId="0" fillId="7" borderId="1" xfId="0" applyFont="1" applyFill="1" applyBorder="1" applyAlignment="1">
      <alignment horizontal="right"/>
    </xf>
    <xf numFmtId="0" fontId="3" fillId="3" borderId="1" xfId="0" applyFont="1" applyFill="1" applyBorder="1"/>
    <xf numFmtId="15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16" fontId="3" fillId="7" borderId="1" xfId="0" quotePrefix="1" applyNumberFormat="1" applyFont="1" applyFill="1" applyBorder="1" applyAlignment="1">
      <alignment horizontal="center"/>
    </xf>
    <xf numFmtId="0" fontId="0" fillId="3" borderId="1" xfId="0" applyFill="1" applyBorder="1"/>
    <xf numFmtId="14" fontId="0" fillId="0" borderId="1" xfId="0" applyNumberFormat="1" applyFill="1" applyBorder="1"/>
    <xf numFmtId="0" fontId="3" fillId="0" borderId="1" xfId="0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165" fontId="20" fillId="0" borderId="1" xfId="6" applyFont="1" applyFill="1" applyBorder="1"/>
    <xf numFmtId="165" fontId="3" fillId="0" borderId="1" xfId="6" applyFont="1" applyFill="1" applyBorder="1"/>
    <xf numFmtId="43" fontId="3" fillId="0" borderId="1" xfId="1" applyFont="1" applyFill="1" applyBorder="1" applyAlignment="1">
      <alignment horizontal="right"/>
    </xf>
    <xf numFmtId="16" fontId="15" fillId="0" borderId="1" xfId="0" quotePrefix="1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right" wrapText="1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/>
    <xf numFmtId="0" fontId="3" fillId="5" borderId="1" xfId="0" applyFont="1" applyFill="1" applyBorder="1"/>
    <xf numFmtId="43" fontId="0" fillId="0" borderId="1" xfId="1" applyFont="1" applyFill="1" applyBorder="1"/>
    <xf numFmtId="0" fontId="24" fillId="0" borderId="1" xfId="0" applyFont="1" applyFill="1" applyBorder="1" applyAlignment="1">
      <alignment wrapText="1"/>
    </xf>
    <xf numFmtId="166" fontId="3" fillId="0" borderId="1" xfId="4" applyFont="1" applyFill="1" applyBorder="1"/>
    <xf numFmtId="41" fontId="0" fillId="0" borderId="1" xfId="7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43" fontId="0" fillId="3" borderId="1" xfId="1" applyFont="1" applyFill="1" applyBorder="1" applyAlignment="1">
      <alignment horizontal="right"/>
    </xf>
    <xf numFmtId="43" fontId="0" fillId="7" borderId="1" xfId="1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center"/>
    </xf>
    <xf numFmtId="0" fontId="0" fillId="3" borderId="1" xfId="0" applyFont="1" applyFill="1" applyBorder="1"/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horizontal="right"/>
    </xf>
    <xf numFmtId="0" fontId="0" fillId="3" borderId="1" xfId="0" quotePrefix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43" fontId="3" fillId="3" borderId="1" xfId="1" applyFont="1" applyFill="1" applyBorder="1"/>
    <xf numFmtId="0" fontId="22" fillId="3" borderId="1" xfId="0" applyFont="1" applyFill="1" applyBorder="1" applyAlignment="1">
      <alignment horizontal="left" vertical="center"/>
    </xf>
    <xf numFmtId="165" fontId="3" fillId="3" borderId="1" xfId="6" applyFont="1" applyFill="1" applyBorder="1"/>
    <xf numFmtId="43" fontId="0" fillId="3" borderId="1" xfId="5" applyFont="1" applyFill="1" applyBorder="1" applyAlignment="1">
      <alignment horizontal="right"/>
    </xf>
    <xf numFmtId="41" fontId="3" fillId="0" borderId="1" xfId="7" applyFont="1" applyFill="1" applyBorder="1" applyAlignment="1">
      <alignment horizontal="right"/>
    </xf>
    <xf numFmtId="0" fontId="0" fillId="0" borderId="1" xfId="0" applyFill="1" applyBorder="1" applyAlignment="1"/>
    <xf numFmtId="43" fontId="3" fillId="7" borderId="1" xfId="1" applyFont="1" applyFill="1" applyBorder="1"/>
    <xf numFmtId="167" fontId="3" fillId="7" borderId="1" xfId="0" applyNumberFormat="1" applyFont="1" applyFill="1" applyBorder="1"/>
    <xf numFmtId="43" fontId="0" fillId="7" borderId="1" xfId="1" applyFont="1" applyFill="1" applyBorder="1"/>
    <xf numFmtId="0" fontId="15" fillId="7" borderId="1" xfId="0" quotePrefix="1" applyFont="1" applyFill="1" applyBorder="1" applyAlignment="1">
      <alignment horizontal="center"/>
    </xf>
    <xf numFmtId="43" fontId="3" fillId="7" borderId="1" xfId="1" applyFont="1" applyFill="1" applyBorder="1" applyAlignment="1">
      <alignment horizontal="right"/>
    </xf>
    <xf numFmtId="14" fontId="3" fillId="7" borderId="1" xfId="1" applyNumberFormat="1" applyFont="1" applyFill="1" applyBorder="1"/>
    <xf numFmtId="1" fontId="0" fillId="7" borderId="1" xfId="0" quotePrefix="1" applyNumberFormat="1" applyFont="1" applyFill="1" applyBorder="1" applyAlignment="1">
      <alignment horizontal="center"/>
    </xf>
    <xf numFmtId="14" fontId="3" fillId="3" borderId="1" xfId="1" applyNumberFormat="1" applyFont="1" applyFill="1" applyBorder="1"/>
    <xf numFmtId="0" fontId="10" fillId="7" borderId="1" xfId="0" applyFont="1" applyFill="1" applyBorder="1"/>
    <xf numFmtId="0" fontId="3" fillId="7" borderId="3" xfId="0" quotePrefix="1" applyFont="1" applyFill="1" applyBorder="1" applyAlignment="1">
      <alignment horizontal="center"/>
    </xf>
    <xf numFmtId="14" fontId="3" fillId="0" borderId="1" xfId="1" applyNumberFormat="1" applyFont="1" applyFill="1" applyBorder="1"/>
    <xf numFmtId="0" fontId="0" fillId="0" borderId="1" xfId="0" applyFill="1" applyBorder="1" applyAlignment="1">
      <alignment horizontal="right"/>
    </xf>
    <xf numFmtId="0" fontId="0" fillId="0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right"/>
    </xf>
    <xf numFmtId="0" fontId="3" fillId="0" borderId="1" xfId="0" applyFont="1" applyFill="1" applyBorder="1" applyAlignment="1"/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15" fontId="3" fillId="0" borderId="3" xfId="0" applyNumberFormat="1" applyFont="1" applyFill="1" applyBorder="1" applyAlignment="1">
      <alignment horizontal="right"/>
    </xf>
    <xf numFmtId="15" fontId="3" fillId="0" borderId="7" xfId="0" applyNumberFormat="1" applyFont="1" applyFill="1" applyBorder="1" applyAlignment="1">
      <alignment horizontal="right"/>
    </xf>
    <xf numFmtId="0" fontId="24" fillId="0" borderId="3" xfId="0" applyFont="1" applyFill="1" applyBorder="1" applyAlignment="1">
      <alignment horizontal="left" wrapText="1"/>
    </xf>
    <xf numFmtId="0" fontId="24" fillId="0" borderId="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5" fontId="3" fillId="0" borderId="1" xfId="0" applyNumberFormat="1" applyFont="1" applyFill="1" applyBorder="1" applyAlignment="1">
      <alignment horizontal="right"/>
    </xf>
    <xf numFmtId="43" fontId="0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horizontal="right"/>
    </xf>
    <xf numFmtId="43" fontId="2" fillId="0" borderId="1" xfId="5" applyFont="1" applyFill="1" applyBorder="1" applyAlignment="1">
      <alignment horizontal="right"/>
    </xf>
    <xf numFmtId="0" fontId="3" fillId="9" borderId="1" xfId="0" applyFont="1" applyFill="1" applyBorder="1"/>
    <xf numFmtId="14" fontId="0" fillId="9" borderId="1" xfId="0" applyNumberFormat="1" applyFill="1" applyBorder="1"/>
    <xf numFmtId="14" fontId="0" fillId="0" borderId="1" xfId="1" applyNumberFormat="1" applyFont="1" applyFill="1" applyBorder="1" applyAlignment="1">
      <alignment horizontal="right"/>
    </xf>
    <xf numFmtId="0" fontId="22" fillId="0" borderId="1" xfId="0" applyFont="1" applyFill="1" applyBorder="1"/>
    <xf numFmtId="0" fontId="22" fillId="0" borderId="1" xfId="0" applyFont="1" applyBorder="1"/>
    <xf numFmtId="0" fontId="17" fillId="0" borderId="1" xfId="0" applyFont="1" applyBorder="1" applyAlignment="1">
      <alignment horizontal="left" vertical="center"/>
    </xf>
    <xf numFmtId="0" fontId="23" fillId="0" borderId="1" xfId="0" applyFont="1" applyBorder="1"/>
    <xf numFmtId="0" fontId="0" fillId="0" borderId="1" xfId="0" quotePrefix="1" applyFont="1" applyFill="1" applyBorder="1" applyAlignment="1">
      <alignment wrapText="1"/>
    </xf>
    <xf numFmtId="43" fontId="1" fillId="0" borderId="1" xfId="5" applyFont="1" applyFill="1" applyBorder="1" applyAlignment="1">
      <alignment horizontal="right"/>
    </xf>
    <xf numFmtId="43" fontId="0" fillId="9" borderId="1" xfId="1" applyFont="1" applyFill="1" applyBorder="1" applyAlignment="1">
      <alignment horizontal="right"/>
    </xf>
    <xf numFmtId="43" fontId="0" fillId="10" borderId="1" xfId="1" applyFont="1" applyFill="1" applyBorder="1" applyAlignment="1">
      <alignment horizontal="right"/>
    </xf>
    <xf numFmtId="166" fontId="22" fillId="0" borderId="1" xfId="4" applyFont="1" applyFill="1" applyBorder="1"/>
    <xf numFmtId="0" fontId="23" fillId="0" borderId="7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right"/>
    </xf>
    <xf numFmtId="0" fontId="3" fillId="10" borderId="0" xfId="0" applyFont="1" applyFill="1"/>
    <xf numFmtId="165" fontId="22" fillId="0" borderId="1" xfId="6" applyFont="1" applyFill="1" applyBorder="1" applyAlignment="1">
      <alignment wrapText="1"/>
    </xf>
    <xf numFmtId="44" fontId="25" fillId="0" borderId="1" xfId="28" applyFont="1" applyBorder="1"/>
    <xf numFmtId="0" fontId="27" fillId="0" borderId="1" xfId="0" applyFont="1" applyFill="1" applyBorder="1" applyAlignment="1">
      <alignment wrapText="1"/>
    </xf>
    <xf numFmtId="0" fontId="15" fillId="0" borderId="3" xfId="0" applyFont="1" applyFill="1" applyBorder="1" applyAlignment="1"/>
    <xf numFmtId="0" fontId="15" fillId="0" borderId="1" xfId="0" applyFont="1" applyFill="1" applyBorder="1" applyAlignment="1"/>
    <xf numFmtId="0" fontId="3" fillId="9" borderId="1" xfId="0" applyFont="1" applyFill="1" applyBorder="1" applyAlignment="1">
      <alignment horizontal="right"/>
    </xf>
    <xf numFmtId="0" fontId="22" fillId="5" borderId="2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0" fillId="3" borderId="1" xfId="0" applyFont="1" applyFill="1" applyBorder="1" applyAlignment="1"/>
    <xf numFmtId="0" fontId="10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wrapText="1"/>
    </xf>
    <xf numFmtId="0" fontId="2" fillId="3" borderId="1" xfId="0" quotePrefix="1" applyFont="1" applyFill="1" applyBorder="1" applyAlignment="1">
      <alignment horizontal="center"/>
    </xf>
    <xf numFmtId="43" fontId="3" fillId="3" borderId="1" xfId="0" applyNumberFormat="1" applyFont="1" applyFill="1" applyBorder="1"/>
    <xf numFmtId="1" fontId="0" fillId="3" borderId="1" xfId="0" quotePrefix="1" applyNumberFormat="1" applyFont="1" applyFill="1" applyBorder="1" applyAlignment="1">
      <alignment horizontal="center"/>
    </xf>
    <xf numFmtId="0" fontId="3" fillId="3" borderId="0" xfId="0" applyFont="1" applyFill="1"/>
    <xf numFmtId="0" fontId="0" fillId="3" borderId="1" xfId="0" quotePrefix="1" applyFont="1" applyFill="1" applyBorder="1" applyAlignment="1">
      <alignment horizontal="center"/>
    </xf>
    <xf numFmtId="14" fontId="0" fillId="3" borderId="1" xfId="0" applyNumberFormat="1" applyFill="1" applyBorder="1"/>
    <xf numFmtId="0" fontId="0" fillId="3" borderId="1" xfId="0" quotePrefix="1" applyFont="1" applyFill="1" applyBorder="1" applyAlignment="1">
      <alignment wrapText="1"/>
    </xf>
    <xf numFmtId="14" fontId="0" fillId="3" borderId="1" xfId="0" applyNumberFormat="1" applyFill="1" applyBorder="1" applyAlignment="1">
      <alignment horizontal="right"/>
    </xf>
    <xf numFmtId="0" fontId="23" fillId="3" borderId="7" xfId="0" applyFont="1" applyFill="1" applyBorder="1" applyAlignment="1">
      <alignment horizontal="left" vertical="center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15" fontId="3" fillId="3" borderId="1" xfId="0" applyNumberFormat="1" applyFont="1" applyFill="1" applyBorder="1" applyAlignment="1">
      <alignment horizontal="right"/>
    </xf>
    <xf numFmtId="44" fontId="3" fillId="3" borderId="1" xfId="28" applyFont="1" applyFill="1" applyBorder="1"/>
    <xf numFmtId="0" fontId="0" fillId="10" borderId="1" xfId="0" applyFill="1" applyBorder="1"/>
    <xf numFmtId="0" fontId="3" fillId="8" borderId="1" xfId="0" applyFont="1" applyFill="1" applyBorder="1" applyAlignment="1">
      <alignment horizontal="right"/>
    </xf>
    <xf numFmtId="0" fontId="2" fillId="7" borderId="1" xfId="0" quotePrefix="1" applyFont="1" applyFill="1" applyBorder="1" applyAlignment="1">
      <alignment horizontal="center"/>
    </xf>
    <xf numFmtId="14" fontId="3" fillId="10" borderId="1" xfId="0" applyNumberFormat="1" applyFont="1" applyFill="1" applyBorder="1"/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right" vertical="center"/>
    </xf>
    <xf numFmtId="0" fontId="0" fillId="7" borderId="1" xfId="0" applyFont="1" applyFill="1" applyBorder="1"/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wrapText="1"/>
    </xf>
    <xf numFmtId="0" fontId="0" fillId="7" borderId="8" xfId="0" applyFont="1" applyFill="1" applyBorder="1"/>
    <xf numFmtId="165" fontId="3" fillId="7" borderId="1" xfId="6" applyFont="1" applyFill="1" applyBorder="1"/>
    <xf numFmtId="0" fontId="0" fillId="7" borderId="2" xfId="0" applyFont="1" applyFill="1" applyBorder="1" applyAlignment="1">
      <alignment wrapText="1"/>
    </xf>
    <xf numFmtId="0" fontId="24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right" wrapText="1"/>
    </xf>
    <xf numFmtId="165" fontId="3" fillId="7" borderId="1" xfId="6" applyFont="1" applyFill="1" applyBorder="1" applyAlignment="1">
      <alignment horizontal="center"/>
    </xf>
    <xf numFmtId="0" fontId="0" fillId="7" borderId="1" xfId="0" applyFont="1" applyFill="1" applyBorder="1" applyAlignment="1">
      <alignment horizontal="left" vertical="center"/>
    </xf>
    <xf numFmtId="0" fontId="0" fillId="7" borderId="2" xfId="0" applyFont="1" applyFill="1" applyBorder="1"/>
    <xf numFmtId="0" fontId="0" fillId="7" borderId="1" xfId="0" quotePrefix="1" applyFont="1" applyFill="1" applyBorder="1" applyAlignment="1">
      <alignment horizontal="center"/>
    </xf>
    <xf numFmtId="166" fontId="0" fillId="7" borderId="1" xfId="4" applyFont="1" applyFill="1" applyBorder="1"/>
    <xf numFmtId="165" fontId="0" fillId="7" borderId="1" xfId="6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0" fillId="0" borderId="1" xfId="0" quotePrefix="1" applyFill="1" applyBorder="1" applyAlignment="1">
      <alignment horizontal="center" wrapText="1"/>
    </xf>
    <xf numFmtId="2" fontId="0" fillId="7" borderId="1" xfId="0" applyNumberFormat="1" applyFill="1" applyBorder="1"/>
    <xf numFmtId="0" fontId="0" fillId="7" borderId="1" xfId="0" quotePrefix="1" applyFill="1" applyBorder="1" applyAlignment="1">
      <alignment horizontal="center"/>
    </xf>
    <xf numFmtId="14" fontId="0" fillId="7" borderId="1" xfId="0" applyNumberFormat="1" applyFill="1" applyBorder="1"/>
    <xf numFmtId="2" fontId="0" fillId="0" borderId="1" xfId="0" applyNumberFormat="1" applyFill="1" applyBorder="1"/>
    <xf numFmtId="14" fontId="3" fillId="7" borderId="6" xfId="1" applyNumberFormat="1" applyFont="1" applyFill="1" applyBorder="1"/>
  </cellXfs>
  <cellStyles count="29">
    <cellStyle name="Hipervínculo" xfId="2" builtinId="8"/>
    <cellStyle name="Hipervínculo 2" xfId="3"/>
    <cellStyle name="Hipervínculo 2 2" xfId="9"/>
    <cellStyle name="Millares" xfId="1" builtinId="3"/>
    <cellStyle name="Millares [0]" xfId="7" builtinId="6"/>
    <cellStyle name="Millares [0] 2" xfId="15"/>
    <cellStyle name="Millares 10" xfId="26"/>
    <cellStyle name="Millares 11" xfId="21"/>
    <cellStyle name="Millares 12" xfId="24"/>
    <cellStyle name="Millares 13" xfId="25"/>
    <cellStyle name="Millares 14" xfId="27"/>
    <cellStyle name="Millares 2" xfId="6"/>
    <cellStyle name="Millares 2 2" xfId="5"/>
    <cellStyle name="Millares 2 2 2" xfId="14"/>
    <cellStyle name="Millares 3" xfId="16"/>
    <cellStyle name="Millares 4" xfId="8"/>
    <cellStyle name="Millares 5" xfId="13"/>
    <cellStyle name="Millares 6" xfId="19"/>
    <cellStyle name="Millares 7" xfId="20"/>
    <cellStyle name="Millares 8" xfId="23"/>
    <cellStyle name="Millares 9" xfId="22"/>
    <cellStyle name="Moneda" xfId="28" builtinId="4"/>
    <cellStyle name="Moneda 2" xfId="4"/>
    <cellStyle name="Moneda 2 2" xfId="18"/>
    <cellStyle name="Moneda 2 3" xfId="11"/>
    <cellStyle name="Moneda 3" xfId="17"/>
    <cellStyle name="Moneda 4" xfId="12"/>
    <cellStyle name="Normal" xfId="0" builtinId="0"/>
    <cellStyle name="Normal 2 77" xfId="10"/>
  </cellStyles>
  <dxfs count="0"/>
  <tableStyles count="0" defaultTableStyle="TableStyleMedium2" defaultPivotStyle="PivotStyleLight16"/>
  <colors>
    <mruColors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86"/>
  <sheetViews>
    <sheetView tabSelected="1" zoomScale="70" zoomScaleNormal="70" workbookViewId="0">
      <pane ySplit="10" topLeftCell="A80" activePane="bottomLeft" state="frozen"/>
      <selection activeCell="A196" sqref="A196"/>
      <selection pane="bottomLeft" activeCell="N15" sqref="N15"/>
    </sheetView>
  </sheetViews>
  <sheetFormatPr baseColWidth="10" defaultRowHeight="23.25" customHeight="1" x14ac:dyDescent="0.25"/>
  <cols>
    <col min="1" max="1" width="10.5703125" style="26" customWidth="1"/>
    <col min="2" max="2" width="32.28515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9.7109375" style="24" customWidth="1"/>
    <col min="10" max="10" width="27.140625" style="18" customWidth="1"/>
    <col min="11" max="11" width="21.5703125" customWidth="1"/>
    <col min="12" max="12" width="28.140625" hidden="1" customWidth="1"/>
    <col min="13" max="13" width="42.7109375" style="11" customWidth="1"/>
    <col min="14" max="14" width="43.28515625" style="11" customWidth="1"/>
    <col min="15" max="15" width="32" style="11" customWidth="1"/>
    <col min="16" max="16" width="40.5703125" style="11" customWidth="1"/>
    <col min="17" max="17" width="34.42578125" style="11" customWidth="1"/>
    <col min="18" max="18" width="34" style="11" customWidth="1"/>
    <col min="19" max="19" width="44.28515625" style="11" customWidth="1"/>
    <col min="20" max="20" width="33.5703125" style="11" customWidth="1"/>
    <col min="21" max="109" width="11.42578125" style="11"/>
  </cols>
  <sheetData>
    <row r="1" spans="1:109" ht="23.25" customHeight="1" x14ac:dyDescent="0.25">
      <c r="A1" s="136" t="s">
        <v>11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9" t="s">
        <v>14</v>
      </c>
    </row>
    <row r="2" spans="1:109" ht="23.25" customHeight="1" x14ac:dyDescent="0.25">
      <c r="A2" s="136" t="s">
        <v>12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27"/>
    </row>
    <row r="3" spans="1:109" ht="23.25" customHeight="1" x14ac:dyDescent="0.25">
      <c r="A3" s="136" t="s">
        <v>13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27"/>
    </row>
    <row r="4" spans="1:109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09" ht="23.25" customHeight="1" x14ac:dyDescent="0.25">
      <c r="A5" s="136" t="s">
        <v>138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27"/>
    </row>
    <row r="6" spans="1:109" ht="23.25" customHeight="1" x14ac:dyDescent="0.25">
      <c r="A6" s="11"/>
      <c r="H6"/>
      <c r="I6"/>
      <c r="J6"/>
      <c r="L6" t="s">
        <v>15</v>
      </c>
    </row>
    <row r="7" spans="1:109" ht="23.25" customHeight="1" x14ac:dyDescent="0.25">
      <c r="A7" s="137" t="s">
        <v>23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t="s">
        <v>16</v>
      </c>
    </row>
    <row r="8" spans="1:109" ht="23.25" customHeight="1" x14ac:dyDescent="0.25">
      <c r="A8" s="136" t="s">
        <v>17</v>
      </c>
      <c r="B8" s="136"/>
      <c r="C8" s="136"/>
      <c r="D8" s="136"/>
      <c r="E8" s="136"/>
      <c r="F8" s="136"/>
      <c r="G8" s="136"/>
      <c r="H8" s="136"/>
      <c r="I8" s="28"/>
      <c r="J8" s="29"/>
      <c r="K8" s="11"/>
      <c r="L8" t="s">
        <v>18</v>
      </c>
    </row>
    <row r="9" spans="1:109" ht="23.25" customHeight="1" x14ac:dyDescent="0.25">
      <c r="G9" s="21" t="s">
        <v>19</v>
      </c>
      <c r="H9" s="20">
        <f>10399521*0.16</f>
        <v>1663923.36</v>
      </c>
      <c r="I9" s="29"/>
      <c r="J9" s="31" t="s">
        <v>31</v>
      </c>
      <c r="K9" s="25"/>
      <c r="L9" t="s">
        <v>20</v>
      </c>
    </row>
    <row r="10" spans="1:109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</row>
    <row r="11" spans="1:109" ht="23.25" customHeight="1" x14ac:dyDescent="0.25">
      <c r="A11" s="78">
        <v>205</v>
      </c>
      <c r="B11" s="56" t="s">
        <v>139</v>
      </c>
      <c r="C11" s="56">
        <v>901053304</v>
      </c>
      <c r="D11" s="57">
        <v>42942</v>
      </c>
      <c r="E11" s="56" t="s">
        <v>140</v>
      </c>
      <c r="F11" s="56">
        <v>118717</v>
      </c>
      <c r="G11" s="76">
        <v>233617</v>
      </c>
      <c r="H11" s="10">
        <v>760000</v>
      </c>
      <c r="I11" s="58" t="s">
        <v>141</v>
      </c>
      <c r="J11" s="10">
        <v>4760000</v>
      </c>
      <c r="K11" s="75">
        <v>42958</v>
      </c>
      <c r="L11" s="75">
        <v>42958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3.25" customHeight="1" x14ac:dyDescent="0.25">
      <c r="A12" s="78">
        <f t="shared" ref="A12:A75" si="0">A11+1</f>
        <v>206</v>
      </c>
      <c r="B12" s="56" t="s">
        <v>142</v>
      </c>
      <c r="C12" s="56">
        <v>860351784</v>
      </c>
      <c r="D12" s="57">
        <v>42942</v>
      </c>
      <c r="E12" s="56" t="s">
        <v>143</v>
      </c>
      <c r="F12" s="56">
        <v>69117</v>
      </c>
      <c r="G12" s="56">
        <v>232817</v>
      </c>
      <c r="H12" s="10">
        <v>12250210.09</v>
      </c>
      <c r="I12" s="41">
        <v>20592</v>
      </c>
      <c r="J12" s="10">
        <v>76725000</v>
      </c>
      <c r="K12" s="75">
        <v>42958</v>
      </c>
      <c r="L12" s="75">
        <v>42958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78">
        <f t="shared" si="0"/>
        <v>207</v>
      </c>
      <c r="B13" s="56" t="s">
        <v>144</v>
      </c>
      <c r="C13" s="56">
        <v>800186656</v>
      </c>
      <c r="D13" s="57">
        <v>42942</v>
      </c>
      <c r="E13" s="56" t="s">
        <v>145</v>
      </c>
      <c r="F13" s="56">
        <v>17717</v>
      </c>
      <c r="G13" s="56">
        <v>233717</v>
      </c>
      <c r="H13" s="10">
        <v>32813318.34</v>
      </c>
      <c r="I13" s="41">
        <v>90884</v>
      </c>
      <c r="J13" s="10">
        <f>205514993.79-5.13</f>
        <v>205514988.66</v>
      </c>
      <c r="K13" s="75">
        <v>42958</v>
      </c>
      <c r="L13" s="75">
        <v>42958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128">
        <f t="shared" si="0"/>
        <v>208</v>
      </c>
      <c r="B14" s="43" t="s">
        <v>99</v>
      </c>
      <c r="C14" s="48">
        <v>830001113</v>
      </c>
      <c r="D14" s="57">
        <v>42943</v>
      </c>
      <c r="E14" s="48" t="s">
        <v>100</v>
      </c>
      <c r="F14" s="48">
        <v>2817</v>
      </c>
      <c r="G14" s="64" t="s">
        <v>146</v>
      </c>
      <c r="H14" s="145">
        <v>0</v>
      </c>
      <c r="I14" s="146" t="s">
        <v>147</v>
      </c>
      <c r="J14" s="10">
        <v>1233637144</v>
      </c>
      <c r="K14" s="75">
        <v>42969</v>
      </c>
      <c r="L14" s="75">
        <v>42969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129"/>
      <c r="B15" s="43" t="s">
        <v>101</v>
      </c>
      <c r="C15" s="48">
        <v>830001113</v>
      </c>
      <c r="D15" s="57">
        <v>42943</v>
      </c>
      <c r="E15" s="48" t="s">
        <v>100</v>
      </c>
      <c r="F15" s="147">
        <v>96817</v>
      </c>
      <c r="G15" s="64" t="s">
        <v>148</v>
      </c>
      <c r="H15" s="145"/>
      <c r="I15" s="146"/>
      <c r="J15" s="10">
        <v>863734418.17999995</v>
      </c>
      <c r="K15" s="75">
        <v>42969</v>
      </c>
      <c r="L15" s="75">
        <v>42969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78">
        <f>A14+1</f>
        <v>209</v>
      </c>
      <c r="B16" s="48" t="s">
        <v>58</v>
      </c>
      <c r="C16" s="48">
        <v>901026123</v>
      </c>
      <c r="D16" s="57">
        <v>42943</v>
      </c>
      <c r="E16" s="48" t="s">
        <v>59</v>
      </c>
      <c r="F16" s="48">
        <v>4817</v>
      </c>
      <c r="G16" s="66">
        <v>234417</v>
      </c>
      <c r="H16" s="79">
        <v>76723567.340000004</v>
      </c>
      <c r="I16" s="77" t="s">
        <v>64</v>
      </c>
      <c r="J16" s="79">
        <v>556245863.20000005</v>
      </c>
      <c r="K16" s="75">
        <v>42969</v>
      </c>
      <c r="L16" s="75">
        <v>42969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</row>
    <row r="17" spans="1:109" ht="23.25" customHeight="1" x14ac:dyDescent="0.25">
      <c r="A17" s="78">
        <f t="shared" si="0"/>
        <v>210</v>
      </c>
      <c r="B17" s="48" t="s">
        <v>149</v>
      </c>
      <c r="C17" s="48">
        <v>800212545</v>
      </c>
      <c r="D17" s="57">
        <v>42944</v>
      </c>
      <c r="E17" s="48" t="s">
        <v>150</v>
      </c>
      <c r="F17" s="48">
        <v>192117</v>
      </c>
      <c r="G17" s="76">
        <v>234617</v>
      </c>
      <c r="H17" s="10">
        <f>4820794+3714368</f>
        <v>8535162</v>
      </c>
      <c r="I17" s="58" t="s">
        <v>151</v>
      </c>
      <c r="J17" s="10">
        <f>436161384+461455577</f>
        <v>897616961</v>
      </c>
      <c r="K17" s="75">
        <v>42969</v>
      </c>
      <c r="L17" s="75">
        <v>42969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</row>
    <row r="18" spans="1:109" ht="23.25" customHeight="1" x14ac:dyDescent="0.25">
      <c r="A18" s="78">
        <f t="shared" si="0"/>
        <v>211</v>
      </c>
      <c r="B18" s="56" t="s">
        <v>65</v>
      </c>
      <c r="C18" s="56">
        <v>901028912</v>
      </c>
      <c r="D18" s="57">
        <v>42947</v>
      </c>
      <c r="E18" s="56" t="s">
        <v>66</v>
      </c>
      <c r="F18" s="56">
        <v>5717</v>
      </c>
      <c r="G18" s="56">
        <v>234917</v>
      </c>
      <c r="H18" s="10">
        <v>129351237.37</v>
      </c>
      <c r="I18" s="41" t="s">
        <v>64</v>
      </c>
      <c r="J18" s="10">
        <v>937796470.94000006</v>
      </c>
      <c r="K18" s="75">
        <v>42969</v>
      </c>
      <c r="L18" s="75">
        <v>42969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</row>
    <row r="19" spans="1:109" ht="23.25" customHeight="1" x14ac:dyDescent="0.25">
      <c r="A19" s="78">
        <f t="shared" si="0"/>
        <v>212</v>
      </c>
      <c r="B19" s="43" t="s">
        <v>62</v>
      </c>
      <c r="C19" s="48">
        <v>891410137</v>
      </c>
      <c r="D19" s="57">
        <v>42947</v>
      </c>
      <c r="E19" s="81" t="s">
        <v>63</v>
      </c>
      <c r="F19" s="48">
        <v>4617</v>
      </c>
      <c r="G19" s="66">
        <v>235117</v>
      </c>
      <c r="H19" s="79">
        <v>44047513.659999996</v>
      </c>
      <c r="I19" s="42" t="s">
        <v>64</v>
      </c>
      <c r="J19" s="88">
        <v>319344474</v>
      </c>
      <c r="K19" s="75">
        <v>42969</v>
      </c>
      <c r="L19" s="75">
        <v>42969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</row>
    <row r="20" spans="1:109" ht="28.5" customHeight="1" x14ac:dyDescent="0.25">
      <c r="A20" s="78">
        <f t="shared" si="0"/>
        <v>213</v>
      </c>
      <c r="B20" s="43" t="s">
        <v>152</v>
      </c>
      <c r="C20" s="37">
        <v>890900943</v>
      </c>
      <c r="D20" s="57">
        <v>42947</v>
      </c>
      <c r="E20" s="81" t="s">
        <v>153</v>
      </c>
      <c r="F20" s="48">
        <v>139717</v>
      </c>
      <c r="G20" s="66">
        <v>236017</v>
      </c>
      <c r="H20" s="79">
        <v>5396950</v>
      </c>
      <c r="I20" s="65" t="s">
        <v>154</v>
      </c>
      <c r="J20" s="88">
        <v>33801950</v>
      </c>
      <c r="K20" s="75">
        <v>42969</v>
      </c>
      <c r="L20" s="75">
        <v>42969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</row>
    <row r="21" spans="1:109" ht="23.25" customHeight="1" x14ac:dyDescent="0.25">
      <c r="A21" s="78">
        <f t="shared" si="0"/>
        <v>214</v>
      </c>
      <c r="B21" s="59" t="s">
        <v>60</v>
      </c>
      <c r="C21" s="56">
        <v>900148612</v>
      </c>
      <c r="D21" s="57">
        <v>42948</v>
      </c>
      <c r="E21" s="81" t="s">
        <v>61</v>
      </c>
      <c r="F21" s="56">
        <v>102317</v>
      </c>
      <c r="G21" s="76">
        <v>236217</v>
      </c>
      <c r="H21" s="82">
        <v>8633823</v>
      </c>
      <c r="I21" s="36" t="s">
        <v>155</v>
      </c>
      <c r="J21" s="82">
        <f>54075000</f>
        <v>54075000</v>
      </c>
      <c r="K21" s="75">
        <v>42972</v>
      </c>
      <c r="L21" s="75">
        <v>42972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</row>
    <row r="22" spans="1:109" ht="23.25" customHeight="1" x14ac:dyDescent="0.25">
      <c r="A22" s="78">
        <f t="shared" si="0"/>
        <v>215</v>
      </c>
      <c r="B22" s="48" t="s">
        <v>39</v>
      </c>
      <c r="C22" s="48">
        <v>900761131</v>
      </c>
      <c r="D22" s="57">
        <v>42948</v>
      </c>
      <c r="E22" s="56" t="s">
        <v>57</v>
      </c>
      <c r="F22" s="48">
        <v>28117</v>
      </c>
      <c r="G22" s="66">
        <v>236317</v>
      </c>
      <c r="H22" s="79">
        <v>538666</v>
      </c>
      <c r="I22" s="65" t="s">
        <v>156</v>
      </c>
      <c r="J22" s="79">
        <v>3373750</v>
      </c>
      <c r="K22" s="75">
        <v>42972</v>
      </c>
      <c r="L22" s="75">
        <v>42972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</row>
    <row r="23" spans="1:109" ht="40.5" customHeight="1" x14ac:dyDescent="0.25">
      <c r="A23" s="78">
        <f t="shared" si="0"/>
        <v>216</v>
      </c>
      <c r="B23" s="56" t="s">
        <v>69</v>
      </c>
      <c r="C23" s="56">
        <v>800007813</v>
      </c>
      <c r="D23" s="57">
        <v>42948</v>
      </c>
      <c r="E23" s="56" t="s">
        <v>70</v>
      </c>
      <c r="F23" s="76">
        <v>1117</v>
      </c>
      <c r="G23" s="55">
        <v>236417</v>
      </c>
      <c r="H23" s="82">
        <v>0</v>
      </c>
      <c r="I23" s="122">
        <v>9117011336</v>
      </c>
      <c r="J23" s="90">
        <v>144733190</v>
      </c>
      <c r="K23" s="75">
        <v>42972</v>
      </c>
      <c r="L23" s="75">
        <v>42972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</row>
    <row r="24" spans="1:109" ht="23.25" customHeight="1" x14ac:dyDescent="0.25">
      <c r="A24" s="78">
        <f t="shared" si="0"/>
        <v>217</v>
      </c>
      <c r="B24" s="56" t="s">
        <v>67</v>
      </c>
      <c r="C24" s="56">
        <v>830095213</v>
      </c>
      <c r="D24" s="57">
        <v>42948</v>
      </c>
      <c r="E24" s="56" t="s">
        <v>68</v>
      </c>
      <c r="F24" s="56">
        <v>1017</v>
      </c>
      <c r="G24" s="76">
        <v>236517</v>
      </c>
      <c r="H24" s="82">
        <v>0</v>
      </c>
      <c r="I24" s="34" t="s">
        <v>157</v>
      </c>
      <c r="J24" s="92">
        <v>849494893</v>
      </c>
      <c r="K24" s="75">
        <v>42972</v>
      </c>
      <c r="L24" s="75">
        <v>42972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</row>
    <row r="25" spans="1:109" ht="23.25" customHeight="1" x14ac:dyDescent="0.25">
      <c r="A25" s="78">
        <f t="shared" si="0"/>
        <v>218</v>
      </c>
      <c r="B25" s="56" t="s">
        <v>93</v>
      </c>
      <c r="C25" s="56">
        <v>901026812</v>
      </c>
      <c r="D25" s="57">
        <v>42948</v>
      </c>
      <c r="E25" s="56" t="s">
        <v>94</v>
      </c>
      <c r="F25" s="56">
        <v>3817</v>
      </c>
      <c r="G25" s="66">
        <v>236617</v>
      </c>
      <c r="H25" s="79">
        <v>48528407.640000001</v>
      </c>
      <c r="I25" s="50" t="s">
        <v>158</v>
      </c>
      <c r="J25" s="79">
        <v>351830955.42000002</v>
      </c>
      <c r="K25" s="75">
        <v>42975</v>
      </c>
      <c r="L25" s="75">
        <v>42975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</row>
    <row r="26" spans="1:109" ht="23.25" customHeight="1" x14ac:dyDescent="0.25">
      <c r="A26" s="78">
        <f t="shared" si="0"/>
        <v>219</v>
      </c>
      <c r="B26" s="56" t="s">
        <v>159</v>
      </c>
      <c r="C26" s="56">
        <v>800222505</v>
      </c>
      <c r="D26" s="57">
        <v>42948</v>
      </c>
      <c r="E26" s="56" t="s">
        <v>160</v>
      </c>
      <c r="F26" s="56">
        <v>189317</v>
      </c>
      <c r="G26" s="66">
        <v>237217</v>
      </c>
      <c r="H26" s="79">
        <f>13163966</f>
        <v>13163966</v>
      </c>
      <c r="I26" s="50">
        <v>1949</v>
      </c>
      <c r="J26" s="79">
        <v>18658481.010000002</v>
      </c>
      <c r="K26" s="75">
        <v>42975</v>
      </c>
      <c r="L26" s="75">
        <v>42972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</row>
    <row r="27" spans="1:109" ht="23.25" customHeight="1" x14ac:dyDescent="0.25">
      <c r="A27" s="78">
        <f t="shared" si="0"/>
        <v>220</v>
      </c>
      <c r="B27" s="56" t="s">
        <v>54</v>
      </c>
      <c r="C27" s="56">
        <v>800079939</v>
      </c>
      <c r="D27" s="57">
        <v>42951</v>
      </c>
      <c r="E27" s="56" t="s">
        <v>55</v>
      </c>
      <c r="F27" s="56">
        <v>5317</v>
      </c>
      <c r="G27" s="76">
        <v>240717</v>
      </c>
      <c r="H27" s="82">
        <v>6700248</v>
      </c>
      <c r="I27" s="58">
        <v>34685</v>
      </c>
      <c r="J27" s="82">
        <v>48576800</v>
      </c>
      <c r="K27" s="75">
        <v>42975</v>
      </c>
      <c r="L27" s="75">
        <v>42972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</row>
    <row r="28" spans="1:109" ht="23.25" customHeight="1" x14ac:dyDescent="0.25">
      <c r="A28" s="78">
        <f t="shared" si="0"/>
        <v>221</v>
      </c>
      <c r="B28" s="49" t="s">
        <v>25</v>
      </c>
      <c r="C28" s="48">
        <v>19374690</v>
      </c>
      <c r="D28" s="57">
        <v>42951</v>
      </c>
      <c r="E28" s="48" t="s">
        <v>26</v>
      </c>
      <c r="F28" s="48">
        <v>5117</v>
      </c>
      <c r="G28" s="66">
        <v>240817</v>
      </c>
      <c r="H28" s="79">
        <v>5346124</v>
      </c>
      <c r="I28" s="65" t="s">
        <v>161</v>
      </c>
      <c r="J28" s="79">
        <v>38759400</v>
      </c>
      <c r="K28" s="75">
        <v>42977</v>
      </c>
      <c r="L28" s="75">
        <v>42977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</row>
    <row r="29" spans="1:109" ht="23.25" customHeight="1" x14ac:dyDescent="0.25">
      <c r="A29" s="78">
        <f t="shared" si="0"/>
        <v>222</v>
      </c>
      <c r="B29" s="49" t="s">
        <v>104</v>
      </c>
      <c r="C29" s="48">
        <v>900452118</v>
      </c>
      <c r="D29" s="57">
        <v>42951</v>
      </c>
      <c r="E29" s="48" t="s">
        <v>53</v>
      </c>
      <c r="F29" s="48">
        <v>70617</v>
      </c>
      <c r="G29" s="66">
        <v>240917</v>
      </c>
      <c r="H29" s="79">
        <v>2105129.5699999998</v>
      </c>
      <c r="I29" s="65">
        <v>164</v>
      </c>
      <c r="J29" s="79">
        <v>13184758.880000001</v>
      </c>
      <c r="K29" s="75">
        <v>42977</v>
      </c>
      <c r="L29" s="75">
        <v>42977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</row>
    <row r="30" spans="1:109" ht="23.25" customHeight="1" x14ac:dyDescent="0.25">
      <c r="A30" s="78">
        <f t="shared" si="0"/>
        <v>223</v>
      </c>
      <c r="B30" s="49" t="s">
        <v>162</v>
      </c>
      <c r="C30" s="48">
        <v>830122566</v>
      </c>
      <c r="D30" s="57">
        <v>42956</v>
      </c>
      <c r="E30" s="48" t="s">
        <v>163</v>
      </c>
      <c r="F30" s="48">
        <v>188917</v>
      </c>
      <c r="G30" s="66">
        <v>241917</v>
      </c>
      <c r="H30" s="79">
        <v>12730656.699999999</v>
      </c>
      <c r="I30" s="65" t="s">
        <v>164</v>
      </c>
      <c r="J30" s="79">
        <v>79734113.650000006</v>
      </c>
      <c r="K30" s="75">
        <v>42977</v>
      </c>
      <c r="L30" s="75">
        <v>42977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</row>
    <row r="31" spans="1:109" ht="23.25" customHeight="1" x14ac:dyDescent="0.25">
      <c r="A31" s="78">
        <f t="shared" si="0"/>
        <v>224</v>
      </c>
      <c r="B31" s="49" t="s">
        <v>165</v>
      </c>
      <c r="C31" s="48">
        <v>900127140</v>
      </c>
      <c r="D31" s="57">
        <v>42956</v>
      </c>
      <c r="E31" s="48" t="s">
        <v>166</v>
      </c>
      <c r="F31" s="48">
        <v>120417</v>
      </c>
      <c r="G31" s="66">
        <v>242017</v>
      </c>
      <c r="H31" s="79">
        <v>0</v>
      </c>
      <c r="I31" s="65">
        <v>13021</v>
      </c>
      <c r="J31" s="79">
        <v>999250000</v>
      </c>
      <c r="K31" s="75">
        <v>42977</v>
      </c>
      <c r="L31" s="75">
        <v>42977</v>
      </c>
    </row>
    <row r="32" spans="1:109" ht="23.25" customHeight="1" x14ac:dyDescent="0.25">
      <c r="A32" s="78">
        <f t="shared" si="0"/>
        <v>225</v>
      </c>
      <c r="B32" s="48" t="s">
        <v>105</v>
      </c>
      <c r="C32" s="48">
        <v>830108265</v>
      </c>
      <c r="D32" s="57">
        <v>42957</v>
      </c>
      <c r="E32" s="56" t="s">
        <v>27</v>
      </c>
      <c r="F32" s="48">
        <v>79317</v>
      </c>
      <c r="G32" s="66">
        <v>245217</v>
      </c>
      <c r="H32" s="79">
        <v>790380.01</v>
      </c>
      <c r="I32" s="58">
        <v>6130</v>
      </c>
      <c r="J32" s="10">
        <v>4950274.8099999996</v>
      </c>
      <c r="K32" s="75">
        <v>42977</v>
      </c>
      <c r="L32" s="75">
        <v>42977</v>
      </c>
    </row>
    <row r="33" spans="1:12" ht="23.25" customHeight="1" x14ac:dyDescent="0.25">
      <c r="A33" s="128">
        <f t="shared" si="0"/>
        <v>226</v>
      </c>
      <c r="B33" s="56" t="s">
        <v>167</v>
      </c>
      <c r="C33" s="134">
        <v>8600202270</v>
      </c>
      <c r="D33" s="130">
        <v>42957</v>
      </c>
      <c r="E33" s="132" t="s">
        <v>168</v>
      </c>
      <c r="F33" s="56">
        <v>4517</v>
      </c>
      <c r="G33" s="64" t="s">
        <v>169</v>
      </c>
      <c r="H33" s="79">
        <v>1486064066.4000001</v>
      </c>
      <c r="I33" s="94" t="s">
        <v>64</v>
      </c>
      <c r="J33" s="79">
        <f>20816153398.24-10042188916.86</f>
        <v>10773964481.380001</v>
      </c>
      <c r="K33" s="75">
        <v>42977</v>
      </c>
      <c r="L33" s="75">
        <v>42977</v>
      </c>
    </row>
    <row r="34" spans="1:12" ht="23.25" customHeight="1" x14ac:dyDescent="0.25">
      <c r="A34" s="129"/>
      <c r="B34" s="56" t="s">
        <v>170</v>
      </c>
      <c r="C34" s="135"/>
      <c r="D34" s="131"/>
      <c r="E34" s="133"/>
      <c r="F34" s="56">
        <v>429516</v>
      </c>
      <c r="G34" s="148" t="s">
        <v>171</v>
      </c>
      <c r="H34" s="79">
        <v>0</v>
      </c>
      <c r="I34" s="65">
        <v>6365</v>
      </c>
      <c r="J34" s="149">
        <v>228000000</v>
      </c>
      <c r="K34" s="170" t="s">
        <v>234</v>
      </c>
      <c r="L34" s="150"/>
    </row>
    <row r="35" spans="1:12" ht="23.25" customHeight="1" x14ac:dyDescent="0.25">
      <c r="A35" s="78">
        <f>A33+1</f>
        <v>227</v>
      </c>
      <c r="B35" s="48" t="s">
        <v>172</v>
      </c>
      <c r="C35" s="48">
        <v>124255</v>
      </c>
      <c r="D35" s="57">
        <v>42957</v>
      </c>
      <c r="E35" s="56" t="s">
        <v>173</v>
      </c>
      <c r="F35" s="48">
        <v>189617</v>
      </c>
      <c r="G35" s="66">
        <v>245417</v>
      </c>
      <c r="H35" s="79">
        <f>2280000+1444000</f>
        <v>3724000</v>
      </c>
      <c r="I35" s="58">
        <v>2</v>
      </c>
      <c r="J35" s="10">
        <f>14280000+9044000</f>
        <v>23324000</v>
      </c>
      <c r="K35" s="75">
        <v>42977</v>
      </c>
      <c r="L35" s="75">
        <v>42977</v>
      </c>
    </row>
    <row r="36" spans="1:12" ht="23.25" customHeight="1" x14ac:dyDescent="0.25">
      <c r="A36" s="78">
        <f t="shared" si="0"/>
        <v>228</v>
      </c>
      <c r="B36" s="48" t="s">
        <v>149</v>
      </c>
      <c r="C36" s="48">
        <v>800212545</v>
      </c>
      <c r="D36" s="57">
        <v>42957</v>
      </c>
      <c r="E36" s="48" t="s">
        <v>150</v>
      </c>
      <c r="F36" s="48">
        <v>192117</v>
      </c>
      <c r="G36" s="76">
        <v>245517</v>
      </c>
      <c r="H36" s="10">
        <f>39107985+79550178</f>
        <v>118658163</v>
      </c>
      <c r="I36" s="58" t="s">
        <v>174</v>
      </c>
      <c r="J36" s="10">
        <f>443502086+505590160</f>
        <v>949092246</v>
      </c>
      <c r="K36" s="75">
        <v>42977</v>
      </c>
      <c r="L36" s="75">
        <v>42977</v>
      </c>
    </row>
    <row r="37" spans="1:12" ht="23.25" customHeight="1" x14ac:dyDescent="0.25">
      <c r="A37" s="78">
        <f t="shared" si="0"/>
        <v>229</v>
      </c>
      <c r="B37" s="48" t="s">
        <v>175</v>
      </c>
      <c r="C37" s="48">
        <v>800198591</v>
      </c>
      <c r="D37" s="57">
        <v>42957</v>
      </c>
      <c r="E37" s="48" t="s">
        <v>95</v>
      </c>
      <c r="F37" s="48">
        <v>74417</v>
      </c>
      <c r="G37" s="76">
        <v>246617</v>
      </c>
      <c r="H37" s="10">
        <v>3980828</v>
      </c>
      <c r="I37" s="58">
        <v>8129</v>
      </c>
      <c r="J37" s="10">
        <v>24932555</v>
      </c>
      <c r="K37" s="75">
        <v>42977</v>
      </c>
      <c r="L37" s="75">
        <v>42977</v>
      </c>
    </row>
    <row r="38" spans="1:12" ht="23.25" customHeight="1" x14ac:dyDescent="0.25">
      <c r="A38" s="78">
        <f t="shared" si="0"/>
        <v>230</v>
      </c>
      <c r="B38" s="49" t="s">
        <v>51</v>
      </c>
      <c r="C38" s="48">
        <v>830001338</v>
      </c>
      <c r="D38" s="57">
        <v>42914</v>
      </c>
      <c r="E38" s="56" t="s">
        <v>52</v>
      </c>
      <c r="F38" s="48">
        <v>6017</v>
      </c>
      <c r="G38" s="66">
        <v>246717</v>
      </c>
      <c r="H38" s="10">
        <v>44987128.030000001</v>
      </c>
      <c r="I38" s="65" t="s">
        <v>176</v>
      </c>
      <c r="J38" s="79">
        <f>322619100.91+6627979.89</f>
        <v>329247080.80000001</v>
      </c>
      <c r="K38" s="75">
        <v>42977</v>
      </c>
      <c r="L38" s="75">
        <v>42977</v>
      </c>
    </row>
    <row r="39" spans="1:12" ht="23.25" customHeight="1" x14ac:dyDescent="0.25">
      <c r="A39" s="128">
        <f t="shared" si="0"/>
        <v>231</v>
      </c>
      <c r="B39" s="56" t="s">
        <v>167</v>
      </c>
      <c r="C39" s="134">
        <v>8600202270</v>
      </c>
      <c r="D39" s="130">
        <v>42961</v>
      </c>
      <c r="E39" s="132" t="s">
        <v>168</v>
      </c>
      <c r="F39" s="56">
        <v>4517</v>
      </c>
      <c r="G39" s="66">
        <v>246817</v>
      </c>
      <c r="H39" s="79">
        <f>9063746.97+959690.86+189720218.84+82758.62+17888275.86+487444137.93</f>
        <v>705158829.08000004</v>
      </c>
      <c r="I39" s="94" t="s">
        <v>177</v>
      </c>
      <c r="J39" s="79">
        <f>65712165.5+6957758.7+1375471586.56+600000+129689999.99+0.01+3533970000</f>
        <v>5112401510.7600002</v>
      </c>
      <c r="K39" s="75">
        <v>42977</v>
      </c>
      <c r="L39" s="75">
        <v>42977</v>
      </c>
    </row>
    <row r="40" spans="1:12" ht="23.25" customHeight="1" x14ac:dyDescent="0.25">
      <c r="A40" s="129"/>
      <c r="B40" s="56" t="s">
        <v>170</v>
      </c>
      <c r="C40" s="135"/>
      <c r="D40" s="131"/>
      <c r="E40" s="133"/>
      <c r="F40" s="56">
        <v>429516</v>
      </c>
      <c r="G40" s="148" t="s">
        <v>171</v>
      </c>
      <c r="H40" s="79">
        <v>390924827.57999998</v>
      </c>
      <c r="I40" s="65" t="s">
        <v>178</v>
      </c>
      <c r="J40" s="149">
        <f>2834204999.99+0.01</f>
        <v>2834205000</v>
      </c>
      <c r="K40" s="170" t="s">
        <v>234</v>
      </c>
      <c r="L40" s="151"/>
    </row>
    <row r="41" spans="1:12" ht="23.25" customHeight="1" x14ac:dyDescent="0.25">
      <c r="A41" s="78">
        <f>A39+1</f>
        <v>232</v>
      </c>
      <c r="B41" s="49" t="s">
        <v>179</v>
      </c>
      <c r="C41" s="48">
        <v>830061846</v>
      </c>
      <c r="D41" s="57">
        <v>42962</v>
      </c>
      <c r="E41" s="48" t="s">
        <v>96</v>
      </c>
      <c r="F41" s="48">
        <v>96117</v>
      </c>
      <c r="G41" s="66">
        <v>247717</v>
      </c>
      <c r="H41" s="79">
        <v>973327</v>
      </c>
      <c r="I41" s="65">
        <v>1698</v>
      </c>
      <c r="J41" s="79">
        <v>6096100</v>
      </c>
      <c r="K41" s="75">
        <v>42966</v>
      </c>
      <c r="L41" s="75">
        <v>42966</v>
      </c>
    </row>
    <row r="42" spans="1:12" ht="23.25" customHeight="1" x14ac:dyDescent="0.25">
      <c r="A42" s="168">
        <f t="shared" si="0"/>
        <v>233</v>
      </c>
      <c r="B42" s="48" t="s">
        <v>102</v>
      </c>
      <c r="C42" s="48">
        <v>830023178</v>
      </c>
      <c r="D42" s="57">
        <v>42962</v>
      </c>
      <c r="E42" s="56" t="s">
        <v>103</v>
      </c>
      <c r="F42" s="48">
        <v>2917</v>
      </c>
      <c r="G42" s="66">
        <v>247817</v>
      </c>
      <c r="H42" s="79">
        <v>5465147.6100000003</v>
      </c>
      <c r="I42" s="65">
        <v>9707</v>
      </c>
      <c r="J42" s="79">
        <v>39622320.170000002</v>
      </c>
      <c r="K42" s="75">
        <v>42966</v>
      </c>
      <c r="L42" s="75">
        <v>42966</v>
      </c>
    </row>
    <row r="43" spans="1:12" ht="23.25" customHeight="1" x14ac:dyDescent="0.25">
      <c r="A43" s="168">
        <f t="shared" si="0"/>
        <v>234</v>
      </c>
      <c r="B43" s="48" t="s">
        <v>180</v>
      </c>
      <c r="C43" s="37">
        <v>860067479</v>
      </c>
      <c r="D43" s="57">
        <v>42962</v>
      </c>
      <c r="E43" s="48" t="s">
        <v>181</v>
      </c>
      <c r="F43" s="48">
        <v>103517</v>
      </c>
      <c r="G43" s="66" t="s">
        <v>182</v>
      </c>
      <c r="H43" s="79">
        <f>2087720.84+2017343.01+2055577.66</f>
        <v>6160641.5099999998</v>
      </c>
      <c r="I43" s="65" t="s">
        <v>183</v>
      </c>
      <c r="J43" s="79">
        <f>(65466169.84+6256237.95+15863551.29+5126808.38)+(63259281.55+6045337.9+15328785.22+4953981.81)+(64458233.07+6159915.03+15619311.29+5047874.5)</f>
        <v>273585487.82999998</v>
      </c>
      <c r="K43" s="75">
        <v>42966</v>
      </c>
      <c r="L43" s="75">
        <v>42966</v>
      </c>
    </row>
    <row r="44" spans="1:12" ht="23.25" customHeight="1" x14ac:dyDescent="0.25">
      <c r="A44" s="168">
        <f t="shared" si="0"/>
        <v>235</v>
      </c>
      <c r="B44" s="46" t="s">
        <v>184</v>
      </c>
      <c r="C44" s="56">
        <v>830051298</v>
      </c>
      <c r="D44" s="57">
        <v>42965</v>
      </c>
      <c r="E44" s="56" t="s">
        <v>185</v>
      </c>
      <c r="F44" s="56">
        <v>63017</v>
      </c>
      <c r="G44" s="76">
        <v>251317</v>
      </c>
      <c r="H44" s="10">
        <v>510392.16</v>
      </c>
      <c r="I44" s="41">
        <v>4731</v>
      </c>
      <c r="J44" s="10">
        <v>3196666.67</v>
      </c>
      <c r="K44" s="75">
        <v>43004</v>
      </c>
      <c r="L44" s="75">
        <v>43004</v>
      </c>
    </row>
    <row r="45" spans="1:12" ht="23.25" customHeight="1" x14ac:dyDescent="0.25">
      <c r="A45" s="168">
        <f t="shared" si="0"/>
        <v>236</v>
      </c>
      <c r="B45" s="46" t="s">
        <v>186</v>
      </c>
      <c r="C45" s="37">
        <v>900062917</v>
      </c>
      <c r="D45" s="57">
        <v>42969</v>
      </c>
      <c r="E45" s="85" t="s">
        <v>187</v>
      </c>
      <c r="F45" s="86">
        <v>189517</v>
      </c>
      <c r="G45" s="56">
        <v>251617</v>
      </c>
      <c r="H45" s="79">
        <v>0</v>
      </c>
      <c r="I45" s="41" t="s">
        <v>188</v>
      </c>
      <c r="J45" s="79">
        <f>105349408+5253200</f>
        <v>110602608</v>
      </c>
      <c r="K45" s="152">
        <v>43004</v>
      </c>
      <c r="L45" s="152">
        <v>43004</v>
      </c>
    </row>
    <row r="46" spans="1:12" ht="23.25" customHeight="1" x14ac:dyDescent="0.25">
      <c r="A46" s="168">
        <f t="shared" si="0"/>
        <v>237</v>
      </c>
      <c r="B46" s="46" t="s">
        <v>69</v>
      </c>
      <c r="C46" s="56">
        <v>800007813</v>
      </c>
      <c r="D46" s="57">
        <v>42969</v>
      </c>
      <c r="E46" s="56" t="s">
        <v>70</v>
      </c>
      <c r="F46" s="76">
        <v>1117</v>
      </c>
      <c r="G46" s="55">
        <v>251917</v>
      </c>
      <c r="H46" s="82">
        <v>0</v>
      </c>
      <c r="I46" s="122">
        <v>9117011545</v>
      </c>
      <c r="J46" s="90">
        <v>130116448</v>
      </c>
      <c r="K46" s="152">
        <v>43006</v>
      </c>
      <c r="L46" s="152">
        <v>43004</v>
      </c>
    </row>
    <row r="47" spans="1:12" ht="23.25" customHeight="1" x14ac:dyDescent="0.25">
      <c r="A47" s="168">
        <f t="shared" si="0"/>
        <v>238</v>
      </c>
      <c r="B47" s="46" t="s">
        <v>189</v>
      </c>
      <c r="C47" s="37">
        <v>804002893</v>
      </c>
      <c r="D47" s="57">
        <v>42969</v>
      </c>
      <c r="E47" s="153" t="s">
        <v>190</v>
      </c>
      <c r="F47" s="87">
        <v>83617</v>
      </c>
      <c r="G47" s="56">
        <v>253017</v>
      </c>
      <c r="H47" s="79">
        <v>1374962</v>
      </c>
      <c r="I47" s="58" t="s">
        <v>191</v>
      </c>
      <c r="J47" s="79">
        <v>8611602</v>
      </c>
      <c r="K47" s="152">
        <v>43006</v>
      </c>
      <c r="L47" s="152">
        <v>43006</v>
      </c>
    </row>
    <row r="48" spans="1:12" ht="33" customHeight="1" x14ac:dyDescent="0.25">
      <c r="A48" s="78">
        <f t="shared" si="0"/>
        <v>239</v>
      </c>
      <c r="B48" s="56" t="s">
        <v>67</v>
      </c>
      <c r="C48" s="56">
        <v>830095213</v>
      </c>
      <c r="D48" s="57">
        <v>42969</v>
      </c>
      <c r="E48" s="56" t="s">
        <v>68</v>
      </c>
      <c r="F48" s="56">
        <v>1017</v>
      </c>
      <c r="G48" s="76">
        <v>257717</v>
      </c>
      <c r="H48" s="82">
        <v>0</v>
      </c>
      <c r="I48" s="34" t="s">
        <v>192</v>
      </c>
      <c r="J48" s="92">
        <v>827130145</v>
      </c>
      <c r="K48" s="152">
        <v>42975</v>
      </c>
      <c r="L48" s="152">
        <v>42976</v>
      </c>
    </row>
    <row r="49" spans="1:13" ht="23.25" customHeight="1" x14ac:dyDescent="0.25">
      <c r="A49" s="78">
        <f t="shared" si="0"/>
        <v>240</v>
      </c>
      <c r="B49" s="46" t="s">
        <v>193</v>
      </c>
      <c r="C49" s="56">
        <v>899999044</v>
      </c>
      <c r="D49" s="57">
        <v>42969</v>
      </c>
      <c r="E49" s="154" t="s">
        <v>194</v>
      </c>
      <c r="F49" s="87">
        <v>81917</v>
      </c>
      <c r="G49" s="56">
        <v>257817</v>
      </c>
      <c r="H49" s="79">
        <v>0</v>
      </c>
      <c r="I49" s="58" t="s">
        <v>195</v>
      </c>
      <c r="J49" s="79">
        <v>428879925</v>
      </c>
      <c r="K49" s="152">
        <v>43006</v>
      </c>
      <c r="L49" s="152">
        <v>43006</v>
      </c>
    </row>
    <row r="50" spans="1:13" ht="23.25" customHeight="1" x14ac:dyDescent="0.25">
      <c r="A50" s="78">
        <f t="shared" si="0"/>
        <v>241</v>
      </c>
      <c r="B50" s="155" t="s">
        <v>196</v>
      </c>
      <c r="C50" s="56">
        <v>9001100012</v>
      </c>
      <c r="D50" s="57">
        <v>42970</v>
      </c>
      <c r="E50" s="156" t="s">
        <v>197</v>
      </c>
      <c r="F50" s="87">
        <v>73717</v>
      </c>
      <c r="G50" s="56">
        <v>258317</v>
      </c>
      <c r="H50" s="79">
        <v>386830995.66000003</v>
      </c>
      <c r="I50" s="58" t="s">
        <v>92</v>
      </c>
      <c r="J50" s="79">
        <v>2422783604.3899999</v>
      </c>
      <c r="K50" s="152">
        <v>43006</v>
      </c>
      <c r="L50" s="152">
        <v>43006</v>
      </c>
    </row>
    <row r="51" spans="1:13" ht="23.25" customHeight="1" x14ac:dyDescent="0.25">
      <c r="A51" s="78">
        <f t="shared" si="0"/>
        <v>242</v>
      </c>
      <c r="B51" s="48" t="s">
        <v>29</v>
      </c>
      <c r="C51" s="48">
        <v>830122566</v>
      </c>
      <c r="D51" s="57">
        <v>42971</v>
      </c>
      <c r="E51" s="48" t="s">
        <v>28</v>
      </c>
      <c r="F51" s="66">
        <v>10117</v>
      </c>
      <c r="G51" s="66">
        <v>266617</v>
      </c>
      <c r="H51" s="79">
        <v>195174609.81</v>
      </c>
      <c r="I51" s="157" t="s">
        <v>198</v>
      </c>
      <c r="J51" s="79">
        <v>1215002076.6800001</v>
      </c>
      <c r="K51" s="152">
        <v>43006</v>
      </c>
      <c r="L51" s="152">
        <v>43006</v>
      </c>
    </row>
    <row r="52" spans="1:13" ht="23.25" customHeight="1" x14ac:dyDescent="0.25">
      <c r="A52" s="78">
        <f t="shared" si="0"/>
        <v>243</v>
      </c>
      <c r="B52" s="56" t="s">
        <v>42</v>
      </c>
      <c r="C52" s="56">
        <v>9010263020</v>
      </c>
      <c r="D52" s="57">
        <v>42972</v>
      </c>
      <c r="E52" s="56" t="s">
        <v>56</v>
      </c>
      <c r="F52" s="56">
        <v>2417</v>
      </c>
      <c r="G52" s="66">
        <v>270117</v>
      </c>
      <c r="H52" s="10">
        <v>135522542.47999999</v>
      </c>
      <c r="I52" s="58">
        <v>8</v>
      </c>
      <c r="J52" s="10">
        <v>982538432.96000004</v>
      </c>
      <c r="K52" s="152">
        <v>43006</v>
      </c>
      <c r="L52" s="152">
        <v>43006</v>
      </c>
    </row>
    <row r="53" spans="1:13" ht="23.25" customHeight="1" x14ac:dyDescent="0.25">
      <c r="A53" s="78">
        <f t="shared" si="0"/>
        <v>244</v>
      </c>
      <c r="B53" s="56" t="s">
        <v>149</v>
      </c>
      <c r="C53" s="56">
        <v>800212545</v>
      </c>
      <c r="D53" s="57">
        <v>42972</v>
      </c>
      <c r="E53" s="56" t="s">
        <v>150</v>
      </c>
      <c r="F53" s="56">
        <v>192117</v>
      </c>
      <c r="G53" s="76">
        <v>270217</v>
      </c>
      <c r="H53" s="10">
        <f>4996924+1461193</f>
        <v>6458117</v>
      </c>
      <c r="I53" s="58" t="s">
        <v>199</v>
      </c>
      <c r="J53" s="10">
        <f>480581575+162814950</f>
        <v>643396525</v>
      </c>
      <c r="K53" s="152">
        <v>43006</v>
      </c>
      <c r="L53" s="152">
        <v>43006</v>
      </c>
    </row>
    <row r="54" spans="1:13" ht="23.25" customHeight="1" x14ac:dyDescent="0.25">
      <c r="A54" s="78">
        <f t="shared" si="0"/>
        <v>245</v>
      </c>
      <c r="B54" s="56" t="s">
        <v>200</v>
      </c>
      <c r="C54" s="56">
        <v>860036649</v>
      </c>
      <c r="D54" s="57">
        <v>42975</v>
      </c>
      <c r="E54" s="56" t="s">
        <v>201</v>
      </c>
      <c r="F54" s="56">
        <v>139517</v>
      </c>
      <c r="G54" s="76">
        <v>271717</v>
      </c>
      <c r="H54" s="79">
        <v>3372690</v>
      </c>
      <c r="I54" s="58" t="s">
        <v>202</v>
      </c>
      <c r="J54" s="79">
        <f>21123690+161.03</f>
        <v>21123851.030000001</v>
      </c>
      <c r="K54" s="152">
        <v>43006</v>
      </c>
      <c r="L54" s="152">
        <v>43006</v>
      </c>
      <c r="M54" s="39"/>
    </row>
    <row r="55" spans="1:13" ht="23.25" customHeight="1" x14ac:dyDescent="0.25">
      <c r="A55" s="128">
        <f t="shared" si="0"/>
        <v>246</v>
      </c>
      <c r="B55" s="56" t="s">
        <v>167</v>
      </c>
      <c r="C55" s="141">
        <v>8600202270</v>
      </c>
      <c r="D55" s="130">
        <v>42976</v>
      </c>
      <c r="E55" s="132" t="s">
        <v>168</v>
      </c>
      <c r="F55" s="56">
        <v>4517</v>
      </c>
      <c r="G55" s="66">
        <v>272917</v>
      </c>
      <c r="H55" s="79">
        <v>1147034482.76</v>
      </c>
      <c r="I55" s="94">
        <v>6436</v>
      </c>
      <c r="J55" s="79">
        <v>8316000000</v>
      </c>
      <c r="K55" s="152">
        <v>43006</v>
      </c>
      <c r="L55" s="152">
        <v>43006</v>
      </c>
      <c r="M55" s="39"/>
    </row>
    <row r="56" spans="1:13" ht="23.25" customHeight="1" x14ac:dyDescent="0.25">
      <c r="A56" s="129"/>
      <c r="B56" s="56" t="s">
        <v>170</v>
      </c>
      <c r="C56" s="141"/>
      <c r="D56" s="131"/>
      <c r="E56" s="133"/>
      <c r="F56" s="56">
        <v>429516</v>
      </c>
      <c r="G56" s="148" t="s">
        <v>171</v>
      </c>
      <c r="H56" s="79">
        <f>4825655.17+2194758.62+28137.93+1395862.06</f>
        <v>8444413.7799999993</v>
      </c>
      <c r="I56" s="65" t="s">
        <v>203</v>
      </c>
      <c r="J56" s="158">
        <f>34986000+15912000+204000+10119999.99+0.01</f>
        <v>61222000</v>
      </c>
      <c r="K56" s="170" t="s">
        <v>234</v>
      </c>
      <c r="L56" s="159"/>
      <c r="M56" s="39"/>
    </row>
    <row r="57" spans="1:13" ht="23.25" customHeight="1" x14ac:dyDescent="0.25">
      <c r="A57" s="78">
        <f>A55+1</f>
        <v>247</v>
      </c>
      <c r="B57" s="56" t="s">
        <v>204</v>
      </c>
      <c r="C57" s="56">
        <v>52906030</v>
      </c>
      <c r="D57" s="57">
        <v>42977</v>
      </c>
      <c r="E57" s="154" t="s">
        <v>205</v>
      </c>
      <c r="F57" s="87">
        <v>95917</v>
      </c>
      <c r="G57" s="66">
        <v>273717</v>
      </c>
      <c r="H57" s="79">
        <v>295302</v>
      </c>
      <c r="I57" s="65">
        <v>320</v>
      </c>
      <c r="J57" s="158">
        <v>1849520.58</v>
      </c>
      <c r="K57" s="152">
        <v>43007</v>
      </c>
      <c r="L57" s="160"/>
      <c r="M57" s="39"/>
    </row>
    <row r="58" spans="1:13" ht="23.25" customHeight="1" x14ac:dyDescent="0.25">
      <c r="A58" s="78">
        <f t="shared" si="0"/>
        <v>248</v>
      </c>
      <c r="B58" s="171" t="s">
        <v>31</v>
      </c>
      <c r="C58" s="172"/>
      <c r="D58" s="172"/>
      <c r="E58" s="172"/>
      <c r="F58" s="172"/>
      <c r="G58" s="172"/>
      <c r="H58" s="172"/>
      <c r="I58" s="172"/>
      <c r="J58" s="172"/>
      <c r="K58" s="172"/>
      <c r="L58" s="173"/>
      <c r="M58" s="39"/>
    </row>
    <row r="59" spans="1:13" ht="23.25" customHeight="1" x14ac:dyDescent="0.25">
      <c r="A59" s="168">
        <f>A58+1</f>
        <v>249</v>
      </c>
      <c r="B59" s="56" t="s">
        <v>206</v>
      </c>
      <c r="C59" s="56">
        <v>52867178</v>
      </c>
      <c r="D59" s="57">
        <v>42979</v>
      </c>
      <c r="E59" s="154" t="s">
        <v>207</v>
      </c>
      <c r="F59" s="87">
        <v>132717</v>
      </c>
      <c r="G59" s="66">
        <v>275317</v>
      </c>
      <c r="H59" s="79">
        <v>0</v>
      </c>
      <c r="I59" s="65" t="s">
        <v>208</v>
      </c>
      <c r="J59" s="161">
        <f>5000900+6996700</f>
        <v>11997600</v>
      </c>
      <c r="K59" s="152">
        <v>43007</v>
      </c>
      <c r="L59" s="160"/>
    </row>
    <row r="60" spans="1:13" ht="23.25" customHeight="1" x14ac:dyDescent="0.25">
      <c r="A60" s="168">
        <f t="shared" ref="A60:A65" si="1">A59+1</f>
        <v>250</v>
      </c>
      <c r="B60" s="56" t="s">
        <v>60</v>
      </c>
      <c r="C60" s="56">
        <v>900148612</v>
      </c>
      <c r="D60" s="57">
        <v>42979</v>
      </c>
      <c r="E60" s="81" t="s">
        <v>61</v>
      </c>
      <c r="F60" s="56">
        <v>102317</v>
      </c>
      <c r="G60" s="66">
        <v>275417</v>
      </c>
      <c r="H60" s="82">
        <v>8633823</v>
      </c>
      <c r="I60" s="36" t="s">
        <v>209</v>
      </c>
      <c r="J60" s="82">
        <f>54075000</f>
        <v>54075000</v>
      </c>
      <c r="K60" s="152">
        <v>43007</v>
      </c>
      <c r="L60" s="152">
        <v>43007</v>
      </c>
    </row>
    <row r="61" spans="1:13" ht="23.25" customHeight="1" x14ac:dyDescent="0.25">
      <c r="A61" s="168">
        <f t="shared" si="1"/>
        <v>251</v>
      </c>
      <c r="B61" s="56" t="s">
        <v>167</v>
      </c>
      <c r="C61" s="124">
        <v>8600202270</v>
      </c>
      <c r="D61" s="57">
        <v>42979</v>
      </c>
      <c r="E61" s="91" t="s">
        <v>168</v>
      </c>
      <c r="F61" s="56">
        <v>4517</v>
      </c>
      <c r="G61" s="66">
        <v>275517</v>
      </c>
      <c r="H61" s="79">
        <f>406685517.24+197452413.79</f>
        <v>604137931.02999997</v>
      </c>
      <c r="I61" s="94" t="s">
        <v>210</v>
      </c>
      <c r="J61" s="79">
        <f>2948470000+1431530000</f>
        <v>4380000000</v>
      </c>
      <c r="K61" s="152">
        <v>43007</v>
      </c>
      <c r="L61" s="152">
        <v>43007</v>
      </c>
    </row>
    <row r="62" spans="1:13" ht="23.25" customHeight="1" x14ac:dyDescent="0.25">
      <c r="A62" s="168">
        <f t="shared" si="1"/>
        <v>252</v>
      </c>
      <c r="B62" s="56" t="s">
        <v>211</v>
      </c>
      <c r="C62" s="124">
        <v>79312002</v>
      </c>
      <c r="D62" s="57">
        <v>42979</v>
      </c>
      <c r="E62" s="80" t="s">
        <v>212</v>
      </c>
      <c r="F62" s="84">
        <v>1917</v>
      </c>
      <c r="G62" s="66">
        <v>275617</v>
      </c>
      <c r="H62" s="79">
        <f>2121850.69+6068986.28</f>
        <v>8190836.9700000007</v>
      </c>
      <c r="I62" s="65" t="s">
        <v>213</v>
      </c>
      <c r="J62" s="79">
        <f>15383417.52+44000150.02</f>
        <v>59383567.540000007</v>
      </c>
      <c r="K62" s="152">
        <v>43007</v>
      </c>
      <c r="L62" s="152">
        <v>43007</v>
      </c>
    </row>
    <row r="63" spans="1:13" ht="23.25" customHeight="1" x14ac:dyDescent="0.25">
      <c r="A63" s="168">
        <f t="shared" si="1"/>
        <v>253</v>
      </c>
      <c r="B63" s="56" t="s">
        <v>71</v>
      </c>
      <c r="C63" s="56">
        <v>800212285</v>
      </c>
      <c r="D63" s="57">
        <v>42979</v>
      </c>
      <c r="E63" s="56" t="s">
        <v>72</v>
      </c>
      <c r="F63" s="56">
        <v>4717</v>
      </c>
      <c r="G63" s="66">
        <v>311117</v>
      </c>
      <c r="H63" s="79">
        <v>44917310.399999999</v>
      </c>
      <c r="I63" s="94" t="s">
        <v>214</v>
      </c>
      <c r="J63" s="79">
        <v>351230200.02999997</v>
      </c>
      <c r="K63" s="152">
        <v>43007</v>
      </c>
      <c r="L63" s="160"/>
    </row>
    <row r="64" spans="1:13" ht="23.25" customHeight="1" x14ac:dyDescent="0.25">
      <c r="A64" s="168">
        <f t="shared" si="1"/>
        <v>254</v>
      </c>
      <c r="B64" s="56" t="s">
        <v>215</v>
      </c>
      <c r="C64" s="154">
        <v>830145023</v>
      </c>
      <c r="D64" s="57">
        <v>42979</v>
      </c>
      <c r="E64" s="162" t="s">
        <v>216</v>
      </c>
      <c r="F64" s="56">
        <v>161217</v>
      </c>
      <c r="G64" s="66">
        <v>276117</v>
      </c>
      <c r="H64" s="79">
        <v>2032188</v>
      </c>
      <c r="I64" s="65">
        <v>1576</v>
      </c>
      <c r="J64" s="79">
        <v>10313616</v>
      </c>
      <c r="K64" s="152">
        <v>43007</v>
      </c>
      <c r="L64" s="152">
        <v>43007</v>
      </c>
    </row>
    <row r="65" spans="1:12" ht="23.25" customHeight="1" x14ac:dyDescent="0.25">
      <c r="A65" s="168">
        <f t="shared" si="1"/>
        <v>255</v>
      </c>
      <c r="B65" s="56" t="s">
        <v>39</v>
      </c>
      <c r="C65" s="48">
        <v>900761131</v>
      </c>
      <c r="D65" s="57">
        <v>42979</v>
      </c>
      <c r="E65" s="56" t="s">
        <v>57</v>
      </c>
      <c r="F65" s="48">
        <v>28117</v>
      </c>
      <c r="G65" s="66">
        <v>276317</v>
      </c>
      <c r="H65" s="79">
        <v>698330</v>
      </c>
      <c r="I65" s="65" t="s">
        <v>217</v>
      </c>
      <c r="J65" s="79">
        <v>4373750</v>
      </c>
      <c r="K65" s="152">
        <v>43007</v>
      </c>
      <c r="L65" s="152">
        <v>43007</v>
      </c>
    </row>
    <row r="66" spans="1:12" ht="23.25" customHeight="1" x14ac:dyDescent="0.25">
      <c r="A66" s="78">
        <f t="shared" si="0"/>
        <v>256</v>
      </c>
      <c r="B66" s="171" t="s">
        <v>31</v>
      </c>
      <c r="C66" s="172"/>
      <c r="D66" s="172"/>
      <c r="E66" s="172"/>
      <c r="F66" s="172"/>
      <c r="G66" s="172"/>
      <c r="H66" s="172"/>
      <c r="I66" s="172"/>
      <c r="J66" s="172"/>
      <c r="K66" s="172"/>
      <c r="L66" s="173"/>
    </row>
    <row r="67" spans="1:12" ht="23.25" customHeight="1" x14ac:dyDescent="0.25">
      <c r="A67" s="78">
        <f t="shared" si="0"/>
        <v>257</v>
      </c>
      <c r="B67" s="49" t="s">
        <v>162</v>
      </c>
      <c r="C67" s="48">
        <v>830122566</v>
      </c>
      <c r="D67" s="57">
        <v>42982</v>
      </c>
      <c r="E67" s="48" t="s">
        <v>163</v>
      </c>
      <c r="F67" s="48">
        <v>188917</v>
      </c>
      <c r="G67" s="66">
        <v>276517</v>
      </c>
      <c r="H67" s="79">
        <v>12730656.699999999</v>
      </c>
      <c r="I67" s="65" t="s">
        <v>218</v>
      </c>
      <c r="J67" s="79">
        <v>79734113.650000006</v>
      </c>
      <c r="K67" s="152">
        <v>43007</v>
      </c>
      <c r="L67" s="152">
        <v>43007</v>
      </c>
    </row>
    <row r="68" spans="1:12" ht="23.25" customHeight="1" x14ac:dyDescent="0.25">
      <c r="A68" s="78">
        <f t="shared" si="0"/>
        <v>258</v>
      </c>
      <c r="B68" s="48" t="s">
        <v>105</v>
      </c>
      <c r="C68" s="48">
        <v>830108265</v>
      </c>
      <c r="D68" s="57">
        <v>42983</v>
      </c>
      <c r="E68" s="56" t="s">
        <v>27</v>
      </c>
      <c r="F68" s="48">
        <v>79317</v>
      </c>
      <c r="G68" s="66">
        <v>276717</v>
      </c>
      <c r="H68" s="79">
        <v>1511763.41</v>
      </c>
      <c r="I68" s="58">
        <v>6186</v>
      </c>
      <c r="J68" s="10">
        <v>9468412.9100000001</v>
      </c>
      <c r="K68" s="152">
        <v>43007</v>
      </c>
      <c r="L68" s="152">
        <v>43007</v>
      </c>
    </row>
    <row r="69" spans="1:12" ht="23.25" customHeight="1" x14ac:dyDescent="0.25">
      <c r="A69" s="78">
        <f t="shared" si="0"/>
        <v>259</v>
      </c>
      <c r="B69" s="48" t="s">
        <v>97</v>
      </c>
      <c r="C69" s="48">
        <v>830122370</v>
      </c>
      <c r="D69" s="57">
        <v>42984</v>
      </c>
      <c r="E69" s="56" t="s">
        <v>98</v>
      </c>
      <c r="F69" s="48">
        <v>1517</v>
      </c>
      <c r="G69" s="66">
        <v>277417</v>
      </c>
      <c r="H69" s="79">
        <v>1652637</v>
      </c>
      <c r="I69" s="42">
        <v>55</v>
      </c>
      <c r="J69" s="79">
        <v>11981620</v>
      </c>
      <c r="K69" s="152">
        <v>43007</v>
      </c>
      <c r="L69" s="152">
        <v>43007</v>
      </c>
    </row>
    <row r="70" spans="1:12" ht="23.25" customHeight="1" x14ac:dyDescent="0.25">
      <c r="A70" s="78">
        <f t="shared" si="0"/>
        <v>260</v>
      </c>
      <c r="B70" s="48" t="s">
        <v>219</v>
      </c>
      <c r="C70" s="56">
        <v>900127140</v>
      </c>
      <c r="D70" s="57">
        <v>42984</v>
      </c>
      <c r="E70" s="153" t="s">
        <v>166</v>
      </c>
      <c r="F70" s="87">
        <v>169417</v>
      </c>
      <c r="G70" s="66">
        <v>277617</v>
      </c>
      <c r="H70" s="79">
        <v>0</v>
      </c>
      <c r="I70" s="65">
        <v>13157</v>
      </c>
      <c r="J70" s="161">
        <v>213424000</v>
      </c>
      <c r="K70" s="152">
        <v>43007</v>
      </c>
      <c r="L70" s="152">
        <v>43007</v>
      </c>
    </row>
    <row r="71" spans="1:12" ht="23.25" customHeight="1" x14ac:dyDescent="0.25">
      <c r="A71" s="78">
        <f t="shared" si="0"/>
        <v>261</v>
      </c>
      <c r="B71" s="48" t="s">
        <v>25</v>
      </c>
      <c r="C71" s="48">
        <v>19374690</v>
      </c>
      <c r="D71" s="57">
        <v>42984</v>
      </c>
      <c r="E71" s="48" t="s">
        <v>26</v>
      </c>
      <c r="F71" s="48">
        <v>5117</v>
      </c>
      <c r="G71" s="66">
        <v>277717</v>
      </c>
      <c r="H71" s="79">
        <v>6247462</v>
      </c>
      <c r="I71" s="65" t="s">
        <v>220</v>
      </c>
      <c r="J71" s="79">
        <v>45294100</v>
      </c>
      <c r="K71" s="152">
        <v>43007</v>
      </c>
      <c r="L71" s="152">
        <v>43007</v>
      </c>
    </row>
    <row r="72" spans="1:12" ht="23.25" customHeight="1" x14ac:dyDescent="0.25">
      <c r="A72" s="78">
        <f t="shared" si="0"/>
        <v>262</v>
      </c>
      <c r="B72" s="48" t="s">
        <v>54</v>
      </c>
      <c r="C72" s="56">
        <v>800079939</v>
      </c>
      <c r="D72" s="57">
        <v>42984</v>
      </c>
      <c r="E72" s="56" t="s">
        <v>55</v>
      </c>
      <c r="F72" s="56">
        <v>5317</v>
      </c>
      <c r="G72" s="76">
        <v>278517</v>
      </c>
      <c r="H72" s="82">
        <v>10191811</v>
      </c>
      <c r="I72" s="58">
        <v>34918</v>
      </c>
      <c r="J72" s="82">
        <v>73890630</v>
      </c>
      <c r="K72" s="152">
        <v>43007</v>
      </c>
      <c r="L72" s="152">
        <v>43007</v>
      </c>
    </row>
    <row r="73" spans="1:12" ht="23.25" customHeight="1" x14ac:dyDescent="0.25">
      <c r="A73" s="78">
        <f t="shared" si="0"/>
        <v>263</v>
      </c>
      <c r="B73" s="48" t="s">
        <v>104</v>
      </c>
      <c r="C73" s="48">
        <v>900452118</v>
      </c>
      <c r="D73" s="57">
        <v>42986</v>
      </c>
      <c r="E73" s="48" t="s">
        <v>53</v>
      </c>
      <c r="F73" s="48">
        <v>70617</v>
      </c>
      <c r="G73" s="163"/>
      <c r="H73" s="79">
        <v>2105129.5699999998</v>
      </c>
      <c r="I73" s="65">
        <v>172</v>
      </c>
      <c r="J73" s="79">
        <v>13184758.880000001</v>
      </c>
      <c r="K73" s="152">
        <v>43007</v>
      </c>
      <c r="L73" s="164"/>
    </row>
    <row r="74" spans="1:12" ht="30" customHeight="1" x14ac:dyDescent="0.25">
      <c r="A74" s="78">
        <f t="shared" si="0"/>
        <v>264</v>
      </c>
      <c r="B74" s="49" t="s">
        <v>179</v>
      </c>
      <c r="C74" s="48">
        <v>830061846</v>
      </c>
      <c r="D74" s="57">
        <v>42991</v>
      </c>
      <c r="E74" s="48" t="s">
        <v>96</v>
      </c>
      <c r="F74" s="48">
        <v>96117</v>
      </c>
      <c r="G74" s="66">
        <v>311617</v>
      </c>
      <c r="H74" s="79">
        <v>990028</v>
      </c>
      <c r="I74" s="65">
        <v>1704</v>
      </c>
      <c r="J74" s="79">
        <v>6200700</v>
      </c>
      <c r="K74" s="152">
        <v>43007</v>
      </c>
      <c r="L74" s="152">
        <v>43007</v>
      </c>
    </row>
    <row r="75" spans="1:12" ht="23.25" customHeight="1" x14ac:dyDescent="0.25">
      <c r="A75" s="78">
        <f t="shared" si="0"/>
        <v>265</v>
      </c>
      <c r="B75" s="48" t="s">
        <v>102</v>
      </c>
      <c r="C75" s="48">
        <v>830023178</v>
      </c>
      <c r="D75" s="57">
        <v>42991</v>
      </c>
      <c r="E75" s="56" t="s">
        <v>103</v>
      </c>
      <c r="F75" s="48">
        <v>2917</v>
      </c>
      <c r="G75" s="163"/>
      <c r="H75" s="79">
        <v>5452035</v>
      </c>
      <c r="I75" s="65">
        <v>9773</v>
      </c>
      <c r="J75" s="79">
        <v>39527256</v>
      </c>
      <c r="K75" s="152">
        <v>43007</v>
      </c>
      <c r="L75" s="152">
        <v>43007</v>
      </c>
    </row>
    <row r="76" spans="1:12" ht="23.25" customHeight="1" x14ac:dyDescent="0.25">
      <c r="A76" s="168">
        <f t="shared" ref="A76:A86" si="2">A75+1</f>
        <v>266</v>
      </c>
      <c r="B76" s="48" t="s">
        <v>221</v>
      </c>
      <c r="C76" s="56">
        <v>900717007</v>
      </c>
      <c r="D76" s="57">
        <v>42991</v>
      </c>
      <c r="E76" s="153" t="s">
        <v>222</v>
      </c>
      <c r="F76" s="87">
        <v>147517</v>
      </c>
      <c r="G76" s="163"/>
      <c r="H76" s="79">
        <v>2184361</v>
      </c>
      <c r="I76" s="65" t="s">
        <v>223</v>
      </c>
      <c r="J76" s="165">
        <v>13021000</v>
      </c>
      <c r="K76" s="152">
        <v>43007</v>
      </c>
      <c r="L76" s="152">
        <v>43007</v>
      </c>
    </row>
    <row r="77" spans="1:12" ht="23.25" customHeight="1" x14ac:dyDescent="0.25">
      <c r="A77" s="168">
        <f t="shared" si="2"/>
        <v>267</v>
      </c>
      <c r="B77" s="85" t="s">
        <v>224</v>
      </c>
      <c r="C77" s="85">
        <v>830132992</v>
      </c>
      <c r="D77" s="57">
        <v>42991</v>
      </c>
      <c r="E77" s="85" t="s">
        <v>108</v>
      </c>
      <c r="F77" s="87">
        <v>18217</v>
      </c>
      <c r="G77" s="163"/>
      <c r="H77" s="79">
        <v>8486482.2599999998</v>
      </c>
      <c r="I77" s="65">
        <v>806</v>
      </c>
      <c r="J77" s="161">
        <v>53152178.359999999</v>
      </c>
      <c r="K77" s="152">
        <v>43007</v>
      </c>
      <c r="L77" s="152">
        <v>43007</v>
      </c>
    </row>
    <row r="78" spans="1:12" ht="26.25" customHeight="1" x14ac:dyDescent="0.25">
      <c r="A78" s="168">
        <f t="shared" si="2"/>
        <v>268</v>
      </c>
      <c r="B78" s="171" t="s">
        <v>31</v>
      </c>
      <c r="C78" s="172"/>
      <c r="D78" s="172"/>
      <c r="E78" s="172"/>
      <c r="F78" s="172"/>
      <c r="G78" s="172"/>
      <c r="H78" s="172"/>
      <c r="I78" s="172"/>
      <c r="J78" s="172"/>
      <c r="K78" s="172"/>
      <c r="L78" s="173"/>
    </row>
    <row r="79" spans="1:12" ht="23.25" customHeight="1" x14ac:dyDescent="0.25">
      <c r="A79" s="168">
        <f t="shared" si="2"/>
        <v>269</v>
      </c>
      <c r="B79" s="171" t="s">
        <v>31</v>
      </c>
      <c r="C79" s="172"/>
      <c r="D79" s="172"/>
      <c r="E79" s="172"/>
      <c r="F79" s="172"/>
      <c r="G79" s="172"/>
      <c r="H79" s="172"/>
      <c r="I79" s="172"/>
      <c r="J79" s="172"/>
      <c r="K79" s="172"/>
      <c r="L79" s="173"/>
    </row>
    <row r="80" spans="1:12" ht="23.25" customHeight="1" x14ac:dyDescent="0.25">
      <c r="A80" s="168">
        <f t="shared" si="2"/>
        <v>270</v>
      </c>
      <c r="B80" s="48" t="s">
        <v>196</v>
      </c>
      <c r="C80" s="56">
        <v>9001100012</v>
      </c>
      <c r="D80" s="57">
        <v>42993</v>
      </c>
      <c r="E80" s="156" t="s">
        <v>197</v>
      </c>
      <c r="F80" s="87">
        <v>73717</v>
      </c>
      <c r="G80" s="163"/>
      <c r="H80" s="79">
        <v>117685099.09999999</v>
      </c>
      <c r="I80" s="65">
        <v>2</v>
      </c>
      <c r="J80" s="161">
        <v>737080357.5</v>
      </c>
      <c r="K80" s="152">
        <v>43007</v>
      </c>
      <c r="L80" s="152">
        <v>43007</v>
      </c>
    </row>
    <row r="81" spans="1:12" ht="23.25" customHeight="1" x14ac:dyDescent="0.25">
      <c r="A81" s="168">
        <f t="shared" si="2"/>
        <v>271</v>
      </c>
      <c r="B81" s="48" t="s">
        <v>225</v>
      </c>
      <c r="C81" s="37">
        <v>800199498</v>
      </c>
      <c r="D81" s="57">
        <v>42993</v>
      </c>
      <c r="E81" s="85" t="s">
        <v>226</v>
      </c>
      <c r="F81" s="48">
        <v>192417</v>
      </c>
      <c r="G81" s="163"/>
      <c r="H81" s="79">
        <v>4890750.4800000004</v>
      </c>
      <c r="I81" s="65">
        <v>37737</v>
      </c>
      <c r="J81" s="161">
        <v>30631542.48</v>
      </c>
      <c r="K81" s="152">
        <v>43007</v>
      </c>
      <c r="L81" s="160"/>
    </row>
    <row r="82" spans="1:12" ht="23.25" customHeight="1" x14ac:dyDescent="0.25">
      <c r="A82" s="168">
        <f t="shared" si="2"/>
        <v>272</v>
      </c>
      <c r="B82" s="171" t="s">
        <v>31</v>
      </c>
      <c r="C82" s="172"/>
      <c r="D82" s="172"/>
      <c r="E82" s="172"/>
      <c r="F82" s="172"/>
      <c r="G82" s="172"/>
      <c r="H82" s="172"/>
      <c r="I82" s="172"/>
      <c r="J82" s="172"/>
      <c r="K82" s="172"/>
      <c r="L82" s="173"/>
    </row>
    <row r="83" spans="1:12" ht="23.25" customHeight="1" x14ac:dyDescent="0.25">
      <c r="A83" s="168">
        <f t="shared" si="2"/>
        <v>273</v>
      </c>
      <c r="B83" s="48" t="s">
        <v>227</v>
      </c>
      <c r="C83" s="48">
        <v>830012785</v>
      </c>
      <c r="D83" s="57">
        <v>42993</v>
      </c>
      <c r="E83" s="153" t="s">
        <v>228</v>
      </c>
      <c r="F83" s="87">
        <v>214217</v>
      </c>
      <c r="G83" s="66">
        <v>305317</v>
      </c>
      <c r="H83" s="79">
        <v>57618450</v>
      </c>
      <c r="I83" s="65">
        <v>3231</v>
      </c>
      <c r="J83" s="166">
        <v>360873450</v>
      </c>
      <c r="K83" s="152">
        <v>43007</v>
      </c>
      <c r="L83" s="160"/>
    </row>
    <row r="84" spans="1:12" ht="23.25" customHeight="1" x14ac:dyDescent="0.25">
      <c r="A84" s="168">
        <f t="shared" si="2"/>
        <v>274</v>
      </c>
      <c r="B84" s="49" t="s">
        <v>51</v>
      </c>
      <c r="C84" s="48">
        <v>830001338</v>
      </c>
      <c r="D84" s="57">
        <v>43000</v>
      </c>
      <c r="E84" s="56" t="s">
        <v>52</v>
      </c>
      <c r="F84" s="48">
        <v>6017</v>
      </c>
      <c r="G84" s="66">
        <v>305217</v>
      </c>
      <c r="H84" s="10"/>
      <c r="I84" s="65" t="s">
        <v>229</v>
      </c>
      <c r="J84" s="79">
        <v>651425246.26999998</v>
      </c>
      <c r="K84" s="152">
        <v>43007</v>
      </c>
      <c r="L84" s="152">
        <v>43007</v>
      </c>
    </row>
    <row r="85" spans="1:12" ht="23.25" customHeight="1" x14ac:dyDescent="0.25">
      <c r="A85" s="168">
        <f t="shared" si="2"/>
        <v>275</v>
      </c>
      <c r="B85" s="59" t="s">
        <v>30</v>
      </c>
      <c r="C85" s="56">
        <v>901037003</v>
      </c>
      <c r="D85" s="57">
        <v>43000</v>
      </c>
      <c r="E85" s="81" t="s">
        <v>43</v>
      </c>
      <c r="F85" s="56">
        <v>4917</v>
      </c>
      <c r="G85" s="76">
        <v>305417</v>
      </c>
      <c r="H85" s="82"/>
      <c r="I85" s="83" t="s">
        <v>230</v>
      </c>
      <c r="J85" s="82">
        <f>39162378.75*2</f>
        <v>78324757.5</v>
      </c>
      <c r="K85" s="152">
        <v>43007</v>
      </c>
      <c r="L85" s="152">
        <v>43007</v>
      </c>
    </row>
    <row r="86" spans="1:12" ht="23.25" customHeight="1" x14ac:dyDescent="0.25">
      <c r="A86" s="169">
        <f t="shared" si="2"/>
        <v>276</v>
      </c>
      <c r="B86" s="56" t="s">
        <v>231</v>
      </c>
      <c r="C86" s="56">
        <v>901016196</v>
      </c>
      <c r="D86" s="57">
        <v>43000</v>
      </c>
      <c r="E86" s="167" t="s">
        <v>232</v>
      </c>
      <c r="F86" s="76">
        <v>2017</v>
      </c>
      <c r="G86" s="56">
        <v>305617</v>
      </c>
      <c r="H86" s="79"/>
      <c r="I86" s="65" t="s">
        <v>233</v>
      </c>
      <c r="J86" s="79">
        <v>6861181168.1599998</v>
      </c>
      <c r="K86" s="152">
        <v>43007</v>
      </c>
      <c r="L86" s="152">
        <v>43007</v>
      </c>
    </row>
  </sheetData>
  <mergeCells count="26">
    <mergeCell ref="B78:L78"/>
    <mergeCell ref="B79:L79"/>
    <mergeCell ref="B82:L82"/>
    <mergeCell ref="A14:A15"/>
    <mergeCell ref="A33:A34"/>
    <mergeCell ref="A39:A40"/>
    <mergeCell ref="A55:A56"/>
    <mergeCell ref="B58:L58"/>
    <mergeCell ref="C39:C40"/>
    <mergeCell ref="D39:D40"/>
    <mergeCell ref="E39:E40"/>
    <mergeCell ref="C55:C56"/>
    <mergeCell ref="D55:D56"/>
    <mergeCell ref="E55:E56"/>
    <mergeCell ref="H14:H15"/>
    <mergeCell ref="I14:I15"/>
    <mergeCell ref="C33:C34"/>
    <mergeCell ref="D33:D34"/>
    <mergeCell ref="E33:E34"/>
    <mergeCell ref="A8:H8"/>
    <mergeCell ref="A5:K5"/>
    <mergeCell ref="A1:K1"/>
    <mergeCell ref="A2:K2"/>
    <mergeCell ref="A3:K3"/>
    <mergeCell ref="A7:K7"/>
    <mergeCell ref="B66:L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zoomScale="70" zoomScaleNormal="70" workbookViewId="0">
      <pane ySplit="10" topLeftCell="A11" activePane="bottomLeft" state="frozen"/>
      <selection activeCell="A196" sqref="A196"/>
      <selection pane="bottomLeft" activeCell="J40" sqref="J40"/>
    </sheetView>
  </sheetViews>
  <sheetFormatPr baseColWidth="10" defaultRowHeight="23.25" customHeight="1" x14ac:dyDescent="0.25"/>
  <cols>
    <col min="1" max="1" width="9.5703125" style="26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2.140625" style="24" customWidth="1"/>
    <col min="10" max="10" width="27.140625" style="18" customWidth="1"/>
    <col min="11" max="11" width="22.85546875" customWidth="1"/>
    <col min="12" max="12" width="28.140625" hidden="1" customWidth="1"/>
    <col min="13" max="13" width="29.140625" style="11" hidden="1" customWidth="1"/>
    <col min="14" max="14" width="34.140625" style="11" customWidth="1"/>
    <col min="15" max="15" width="43.28515625" style="11" customWidth="1"/>
    <col min="16" max="16" width="32" style="11" customWidth="1"/>
    <col min="17" max="17" width="40.5703125" style="11" customWidth="1"/>
    <col min="18" max="18" width="34.42578125" style="11" customWidth="1"/>
    <col min="19" max="19" width="34" style="11" customWidth="1"/>
    <col min="20" max="20" width="44.28515625" style="11" customWidth="1"/>
    <col min="21" max="21" width="33.5703125" style="11" customWidth="1"/>
    <col min="22" max="110" width="11.42578125" style="11"/>
  </cols>
  <sheetData>
    <row r="1" spans="1:110" ht="23.25" customHeight="1" x14ac:dyDescent="0.25">
      <c r="A1" s="136" t="s">
        <v>11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9" t="s">
        <v>14</v>
      </c>
    </row>
    <row r="2" spans="1:110" ht="23.25" customHeight="1" x14ac:dyDescent="0.25">
      <c r="A2" s="136" t="s">
        <v>12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27"/>
    </row>
    <row r="3" spans="1:110" ht="23.25" customHeight="1" x14ac:dyDescent="0.25">
      <c r="A3" s="136" t="s">
        <v>13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27"/>
    </row>
    <row r="4" spans="1:110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10" ht="23.25" customHeight="1" x14ac:dyDescent="0.25">
      <c r="A5" s="136" t="s">
        <v>138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27"/>
    </row>
    <row r="6" spans="1:110" ht="23.25" customHeight="1" x14ac:dyDescent="0.25">
      <c r="A6" s="11"/>
      <c r="H6"/>
      <c r="I6"/>
      <c r="J6"/>
      <c r="L6" t="s">
        <v>15</v>
      </c>
    </row>
    <row r="7" spans="1:110" ht="23.25" customHeight="1" x14ac:dyDescent="0.25">
      <c r="A7" s="137" t="s">
        <v>36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t="s">
        <v>16</v>
      </c>
    </row>
    <row r="8" spans="1:110" ht="23.25" customHeight="1" x14ac:dyDescent="0.25">
      <c r="A8" s="136" t="s">
        <v>17</v>
      </c>
      <c r="B8" s="136"/>
      <c r="C8" s="136"/>
      <c r="D8" s="136"/>
      <c r="E8" s="136"/>
      <c r="F8" s="136"/>
      <c r="G8" s="136"/>
      <c r="H8" s="136"/>
      <c r="I8" s="28"/>
      <c r="J8" s="29"/>
      <c r="K8" s="11"/>
      <c r="L8" t="s">
        <v>18</v>
      </c>
    </row>
    <row r="9" spans="1:110" ht="23.25" customHeight="1" x14ac:dyDescent="0.25">
      <c r="G9" s="21" t="s">
        <v>19</v>
      </c>
      <c r="H9" s="20">
        <f>10399521*0.16</f>
        <v>1663923.36</v>
      </c>
      <c r="I9" s="29"/>
      <c r="J9" s="31" t="s">
        <v>31</v>
      </c>
      <c r="K9" s="25"/>
      <c r="L9" t="s">
        <v>20</v>
      </c>
    </row>
    <row r="10" spans="1:110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</row>
    <row r="11" spans="1:110" ht="36" customHeight="1" x14ac:dyDescent="0.25">
      <c r="A11" s="9">
        <v>33</v>
      </c>
      <c r="B11" s="98" t="s">
        <v>101</v>
      </c>
      <c r="C11" s="98">
        <v>830001113</v>
      </c>
      <c r="D11" s="71">
        <v>42943</v>
      </c>
      <c r="E11" s="98" t="s">
        <v>100</v>
      </c>
      <c r="F11" s="174">
        <v>96817</v>
      </c>
      <c r="G11" s="175" t="s">
        <v>235</v>
      </c>
      <c r="H11" s="95">
        <v>0</v>
      </c>
      <c r="I11" s="102" t="s">
        <v>147</v>
      </c>
      <c r="J11" s="103">
        <v>399594691.81999999</v>
      </c>
      <c r="K11" s="99">
        <v>42969</v>
      </c>
      <c r="L11" s="99">
        <v>42969</v>
      </c>
      <c r="M11" s="23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40">
        <f>A11+1</f>
        <v>34</v>
      </c>
      <c r="B12" s="98" t="s">
        <v>58</v>
      </c>
      <c r="C12" s="98">
        <v>901026123</v>
      </c>
      <c r="D12" s="71">
        <v>42943</v>
      </c>
      <c r="E12" s="98" t="s">
        <v>59</v>
      </c>
      <c r="F12" s="98">
        <v>4817</v>
      </c>
      <c r="G12" s="100">
        <v>234517</v>
      </c>
      <c r="H12" s="95">
        <v>0</v>
      </c>
      <c r="I12" s="101" t="s">
        <v>64</v>
      </c>
      <c r="J12" s="95">
        <v>12312009.800000001</v>
      </c>
      <c r="K12" s="99">
        <v>42969</v>
      </c>
      <c r="L12" s="99">
        <v>42969</v>
      </c>
    </row>
    <row r="13" spans="1:110" ht="23.25" customHeight="1" x14ac:dyDescent="0.25">
      <c r="A13" s="40">
        <f t="shared" ref="A13:A27" si="0">A12+1</f>
        <v>35</v>
      </c>
      <c r="B13" s="70" t="s">
        <v>65</v>
      </c>
      <c r="C13" s="70">
        <v>901028912</v>
      </c>
      <c r="D13" s="71">
        <v>42947</v>
      </c>
      <c r="E13" s="70" t="s">
        <v>66</v>
      </c>
      <c r="F13" s="70">
        <v>5717</v>
      </c>
      <c r="G13" s="70">
        <v>235017</v>
      </c>
      <c r="H13" s="103">
        <v>765023.59</v>
      </c>
      <c r="I13" s="102" t="s">
        <v>64</v>
      </c>
      <c r="J13" s="106">
        <v>5546421.04</v>
      </c>
      <c r="K13" s="99">
        <v>42969</v>
      </c>
      <c r="L13" s="99">
        <v>42969</v>
      </c>
    </row>
    <row r="14" spans="1:110" ht="23.25" customHeight="1" x14ac:dyDescent="0.25">
      <c r="A14" s="40">
        <f t="shared" si="0"/>
        <v>36</v>
      </c>
      <c r="B14" s="176" t="s">
        <v>62</v>
      </c>
      <c r="C14" s="98">
        <v>891410137</v>
      </c>
      <c r="D14" s="71">
        <v>42947</v>
      </c>
      <c r="E14" s="105" t="s">
        <v>63</v>
      </c>
      <c r="F14" s="98">
        <v>4617</v>
      </c>
      <c r="G14" s="100">
        <v>235217</v>
      </c>
      <c r="H14" s="95">
        <v>1575892.83</v>
      </c>
      <c r="I14" s="177" t="s">
        <v>64</v>
      </c>
      <c r="J14" s="178">
        <v>11425223</v>
      </c>
      <c r="K14" s="99">
        <v>42969</v>
      </c>
      <c r="L14" s="99">
        <v>42969</v>
      </c>
    </row>
    <row r="15" spans="1:110" ht="23.25" customHeight="1" x14ac:dyDescent="0.25">
      <c r="A15" s="40">
        <f t="shared" si="0"/>
        <v>37</v>
      </c>
      <c r="B15" s="176" t="s">
        <v>236</v>
      </c>
      <c r="C15" s="98">
        <v>51866300</v>
      </c>
      <c r="D15" s="71">
        <v>42948</v>
      </c>
      <c r="E15" s="105" t="s">
        <v>237</v>
      </c>
      <c r="F15" s="98">
        <v>126117</v>
      </c>
      <c r="G15" s="100">
        <v>236717</v>
      </c>
      <c r="H15" s="95">
        <v>4403250</v>
      </c>
      <c r="I15" s="177">
        <v>806</v>
      </c>
      <c r="J15" s="178">
        <v>27578250</v>
      </c>
      <c r="K15" s="99">
        <v>42972</v>
      </c>
      <c r="L15" s="99">
        <v>42972</v>
      </c>
    </row>
    <row r="16" spans="1:110" ht="23.25" customHeight="1" x14ac:dyDescent="0.25">
      <c r="A16" s="40">
        <f t="shared" si="0"/>
        <v>38</v>
      </c>
      <c r="B16" s="70" t="s">
        <v>159</v>
      </c>
      <c r="C16" s="70">
        <v>800222505</v>
      </c>
      <c r="D16" s="71">
        <v>42948</v>
      </c>
      <c r="E16" s="70" t="s">
        <v>160</v>
      </c>
      <c r="F16" s="70">
        <v>189317</v>
      </c>
      <c r="G16" s="100">
        <v>237317</v>
      </c>
      <c r="H16" s="95">
        <f>13163966+13163966</f>
        <v>26327932</v>
      </c>
      <c r="I16" s="179" t="s">
        <v>238</v>
      </c>
      <c r="J16" s="95">
        <f>63789518.99+82448000</f>
        <v>146237518.99000001</v>
      </c>
      <c r="K16" s="99">
        <v>42972</v>
      </c>
      <c r="L16" s="99">
        <v>42972</v>
      </c>
    </row>
    <row r="17" spans="1:12" ht="23.25" customHeight="1" x14ac:dyDescent="0.25">
      <c r="A17" s="40">
        <f t="shared" si="0"/>
        <v>39</v>
      </c>
      <c r="B17" s="98" t="s">
        <v>106</v>
      </c>
      <c r="C17" s="74">
        <v>860077695</v>
      </c>
      <c r="D17" s="71">
        <v>42949</v>
      </c>
      <c r="E17" s="104" t="s">
        <v>107</v>
      </c>
      <c r="F17" s="70">
        <v>189217</v>
      </c>
      <c r="G17" s="72">
        <v>240117</v>
      </c>
      <c r="H17" s="103">
        <v>8774472</v>
      </c>
      <c r="I17" s="97">
        <v>71095</v>
      </c>
      <c r="J17" s="103">
        <v>54955903</v>
      </c>
      <c r="K17" s="99">
        <v>42972</v>
      </c>
      <c r="L17" s="99">
        <v>42972</v>
      </c>
    </row>
    <row r="18" spans="1:12" ht="23.25" customHeight="1" x14ac:dyDescent="0.25">
      <c r="A18" s="40">
        <f t="shared" si="0"/>
        <v>40</v>
      </c>
      <c r="B18" s="98" t="s">
        <v>239</v>
      </c>
      <c r="C18" s="74">
        <v>830103325</v>
      </c>
      <c r="D18" s="71">
        <v>42961</v>
      </c>
      <c r="E18" s="104" t="s">
        <v>240</v>
      </c>
      <c r="F18" s="70">
        <v>170317</v>
      </c>
      <c r="G18" s="72">
        <v>247417</v>
      </c>
      <c r="H18" s="103">
        <v>686092</v>
      </c>
      <c r="I18" s="97">
        <v>1484</v>
      </c>
      <c r="J18" s="103">
        <v>4297100</v>
      </c>
      <c r="K18" s="99">
        <v>43006</v>
      </c>
      <c r="L18" s="99">
        <v>43006</v>
      </c>
    </row>
    <row r="19" spans="1:12" ht="23.25" customHeight="1" x14ac:dyDescent="0.25">
      <c r="A19" s="40">
        <f t="shared" si="0"/>
        <v>41</v>
      </c>
      <c r="B19" s="98" t="s">
        <v>180</v>
      </c>
      <c r="C19" s="180">
        <v>860067479</v>
      </c>
      <c r="D19" s="71">
        <v>42962</v>
      </c>
      <c r="E19" s="98" t="s">
        <v>181</v>
      </c>
      <c r="F19" s="98">
        <v>103517</v>
      </c>
      <c r="G19" s="100" t="s">
        <v>241</v>
      </c>
      <c r="H19" s="95">
        <f>2087720.84+2017343.01+2055577.66</f>
        <v>6160641.5099999998</v>
      </c>
      <c r="I19" s="181" t="s">
        <v>183</v>
      </c>
      <c r="J19" s="95">
        <f>14729461.96+4647859.74+18724105.16+19078982.63+2881477.6</f>
        <v>60061887.089999996</v>
      </c>
      <c r="K19" s="182">
        <v>43006</v>
      </c>
      <c r="L19" s="182">
        <v>43006</v>
      </c>
    </row>
    <row r="20" spans="1:12" ht="23.25" customHeight="1" x14ac:dyDescent="0.25">
      <c r="A20" s="56">
        <f t="shared" si="0"/>
        <v>42</v>
      </c>
      <c r="B20" s="98" t="s">
        <v>29</v>
      </c>
      <c r="C20" s="98">
        <v>830122566</v>
      </c>
      <c r="D20" s="71">
        <v>42971</v>
      </c>
      <c r="E20" s="98" t="s">
        <v>28</v>
      </c>
      <c r="F20" s="100">
        <v>10117</v>
      </c>
      <c r="G20" s="100">
        <v>266817</v>
      </c>
      <c r="H20" s="95">
        <v>195174609.81</v>
      </c>
      <c r="I20" s="183" t="s">
        <v>198</v>
      </c>
      <c r="J20" s="95">
        <v>217296806.91999999</v>
      </c>
      <c r="K20" s="184">
        <v>43006</v>
      </c>
      <c r="L20" s="184">
        <v>43006</v>
      </c>
    </row>
    <row r="21" spans="1:12" ht="23.25" customHeight="1" x14ac:dyDescent="0.25">
      <c r="A21" s="56">
        <f t="shared" si="0"/>
        <v>43</v>
      </c>
      <c r="B21" s="98" t="s">
        <v>17</v>
      </c>
      <c r="C21" s="98">
        <v>830001113</v>
      </c>
      <c r="D21" s="71">
        <v>42944</v>
      </c>
      <c r="E21" s="98" t="s">
        <v>110</v>
      </c>
      <c r="F21" s="98">
        <v>69617</v>
      </c>
      <c r="G21" s="100">
        <v>271817</v>
      </c>
      <c r="H21" s="95">
        <v>0</v>
      </c>
      <c r="I21" s="101">
        <v>88146</v>
      </c>
      <c r="J21" s="95">
        <v>307230000</v>
      </c>
      <c r="K21" s="182">
        <v>43007</v>
      </c>
      <c r="L21" s="182">
        <v>43007</v>
      </c>
    </row>
    <row r="22" spans="1:12" ht="23.25" customHeight="1" x14ac:dyDescent="0.25">
      <c r="A22" s="56">
        <f t="shared" si="0"/>
        <v>44</v>
      </c>
      <c r="B22" s="98" t="s">
        <v>106</v>
      </c>
      <c r="C22" s="74">
        <v>860077695</v>
      </c>
      <c r="D22" s="71">
        <v>42979</v>
      </c>
      <c r="E22" s="104" t="s">
        <v>107</v>
      </c>
      <c r="F22" s="70">
        <v>189217</v>
      </c>
      <c r="G22" s="100">
        <v>275717</v>
      </c>
      <c r="H22" s="103">
        <v>8774472</v>
      </c>
      <c r="I22" s="97">
        <v>71595</v>
      </c>
      <c r="J22" s="103">
        <v>54955903</v>
      </c>
      <c r="K22" s="182">
        <v>43007</v>
      </c>
      <c r="L22" s="182">
        <v>43007</v>
      </c>
    </row>
    <row r="23" spans="1:12" ht="23.25" customHeight="1" x14ac:dyDescent="0.25">
      <c r="A23" s="56">
        <f t="shared" si="0"/>
        <v>45</v>
      </c>
      <c r="B23" s="98" t="s">
        <v>215</v>
      </c>
      <c r="C23" s="74">
        <v>830145023</v>
      </c>
      <c r="D23" s="71">
        <v>42979</v>
      </c>
      <c r="E23" s="185" t="s">
        <v>216</v>
      </c>
      <c r="F23" s="70">
        <v>161217</v>
      </c>
      <c r="G23" s="100">
        <v>276217</v>
      </c>
      <c r="H23" s="95">
        <v>2032188</v>
      </c>
      <c r="I23" s="181">
        <v>1576</v>
      </c>
      <c r="J23" s="103">
        <v>4105353</v>
      </c>
      <c r="K23" s="182">
        <v>43007</v>
      </c>
      <c r="L23" s="182">
        <v>43007</v>
      </c>
    </row>
    <row r="24" spans="1:12" ht="23.25" customHeight="1" x14ac:dyDescent="0.25">
      <c r="A24" s="56">
        <f t="shared" si="0"/>
        <v>46</v>
      </c>
      <c r="B24" s="138" t="s">
        <v>31</v>
      </c>
      <c r="C24" s="139"/>
      <c r="D24" s="139"/>
      <c r="E24" s="139"/>
      <c r="F24" s="139"/>
      <c r="G24" s="139"/>
      <c r="H24" s="139"/>
      <c r="I24" s="139"/>
      <c r="J24" s="139"/>
      <c r="K24" s="140"/>
      <c r="L24" s="35"/>
    </row>
    <row r="25" spans="1:12" ht="23.25" customHeight="1" x14ac:dyDescent="0.25">
      <c r="A25" s="56">
        <f t="shared" si="0"/>
        <v>47</v>
      </c>
      <c r="B25" s="98" t="s">
        <v>221</v>
      </c>
      <c r="C25" s="74">
        <v>900717007</v>
      </c>
      <c r="D25" s="71">
        <v>42991</v>
      </c>
      <c r="E25" s="104" t="s">
        <v>222</v>
      </c>
      <c r="F25" s="70">
        <v>147517</v>
      </c>
      <c r="G25" s="163"/>
      <c r="H25" s="103">
        <v>2184361</v>
      </c>
      <c r="I25" s="97" t="s">
        <v>223</v>
      </c>
      <c r="J25" s="103">
        <v>660000</v>
      </c>
      <c r="K25" s="186">
        <v>43007</v>
      </c>
      <c r="L25" s="186">
        <v>43007</v>
      </c>
    </row>
    <row r="26" spans="1:12" ht="23.25" customHeight="1" x14ac:dyDescent="0.25">
      <c r="A26" s="56">
        <f t="shared" si="0"/>
        <v>48</v>
      </c>
      <c r="B26" s="70" t="s">
        <v>159</v>
      </c>
      <c r="C26" s="70">
        <v>800222505</v>
      </c>
      <c r="D26" s="71">
        <v>42991</v>
      </c>
      <c r="E26" s="70" t="s">
        <v>160</v>
      </c>
      <c r="F26" s="70">
        <v>189317</v>
      </c>
      <c r="G26" s="163"/>
      <c r="H26" s="95">
        <v>13163966</v>
      </c>
      <c r="I26" s="179">
        <v>1977</v>
      </c>
      <c r="J26" s="95">
        <v>82448000</v>
      </c>
      <c r="K26" s="186">
        <v>43007</v>
      </c>
      <c r="L26" s="186">
        <v>43007</v>
      </c>
    </row>
    <row r="27" spans="1:12" ht="23.25" customHeight="1" x14ac:dyDescent="0.25">
      <c r="A27" s="56">
        <f t="shared" si="0"/>
        <v>49</v>
      </c>
      <c r="B27" s="187" t="s">
        <v>30</v>
      </c>
      <c r="C27" s="70">
        <v>901037003</v>
      </c>
      <c r="D27" s="188">
        <v>43000</v>
      </c>
      <c r="E27" s="105" t="s">
        <v>43</v>
      </c>
      <c r="F27" s="70">
        <v>4917</v>
      </c>
      <c r="G27" s="72">
        <v>305517</v>
      </c>
      <c r="H27" s="103">
        <v>0</v>
      </c>
      <c r="I27" s="97" t="s">
        <v>230</v>
      </c>
      <c r="J27" s="189">
        <f>11543732.13*2</f>
        <v>23087464.260000002</v>
      </c>
      <c r="K27" s="186">
        <v>43007</v>
      </c>
      <c r="L27" s="186">
        <v>43007</v>
      </c>
    </row>
  </sheetData>
  <mergeCells count="7">
    <mergeCell ref="B24:K24"/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51"/>
  <sheetViews>
    <sheetView zoomScale="60" zoomScaleNormal="60" workbookViewId="0">
      <pane ySplit="10" topLeftCell="A38" activePane="bottomLeft" state="frozen"/>
      <selection activeCell="A196" sqref="A196"/>
      <selection pane="bottomLeft" activeCell="P44" sqref="P44"/>
    </sheetView>
  </sheetViews>
  <sheetFormatPr baseColWidth="10" defaultRowHeight="23.25" customHeight="1" x14ac:dyDescent="0.25"/>
  <cols>
    <col min="1" max="1" width="9.5703125" style="26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2.140625" style="24" customWidth="1"/>
    <col min="10" max="10" width="27.140625" style="18" customWidth="1"/>
    <col min="11" max="11" width="28.7109375" customWidth="1"/>
    <col min="12" max="12" width="28.140625" hidden="1" customWidth="1"/>
    <col min="13" max="13" width="29.140625" style="11" hidden="1" customWidth="1"/>
    <col min="14" max="14" width="34.140625" style="11" customWidth="1"/>
    <col min="15" max="15" width="43.28515625" style="11" customWidth="1"/>
    <col min="16" max="16" width="32" style="11" customWidth="1"/>
    <col min="17" max="17" width="40.5703125" style="11" customWidth="1"/>
    <col min="18" max="18" width="34.42578125" style="11" customWidth="1"/>
    <col min="19" max="19" width="34" style="11" customWidth="1"/>
    <col min="20" max="20" width="44.28515625" style="11" customWidth="1"/>
    <col min="21" max="21" width="33.5703125" style="11" customWidth="1"/>
    <col min="22" max="110" width="11.42578125" style="11"/>
  </cols>
  <sheetData>
    <row r="1" spans="1:110" ht="23.25" customHeight="1" x14ac:dyDescent="0.25">
      <c r="A1" s="136" t="s">
        <v>11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9" t="s">
        <v>14</v>
      </c>
    </row>
    <row r="2" spans="1:110" ht="23.25" customHeight="1" x14ac:dyDescent="0.25">
      <c r="A2" s="136" t="s">
        <v>12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27"/>
    </row>
    <row r="3" spans="1:110" ht="23.25" customHeight="1" x14ac:dyDescent="0.25">
      <c r="A3" s="136" t="s">
        <v>13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27"/>
    </row>
    <row r="4" spans="1:110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10" ht="23.25" customHeight="1" x14ac:dyDescent="0.25">
      <c r="A5" s="136" t="s">
        <v>138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27"/>
    </row>
    <row r="6" spans="1:110" ht="23.25" customHeight="1" x14ac:dyDescent="0.25">
      <c r="A6" s="11"/>
      <c r="H6"/>
      <c r="I6"/>
      <c r="J6"/>
      <c r="L6" t="s">
        <v>15</v>
      </c>
    </row>
    <row r="7" spans="1:110" ht="23.25" customHeight="1" x14ac:dyDescent="0.25">
      <c r="A7" s="137" t="s">
        <v>37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t="s">
        <v>16</v>
      </c>
    </row>
    <row r="8" spans="1:110" ht="23.25" customHeight="1" x14ac:dyDescent="0.25">
      <c r="A8" s="136" t="s">
        <v>17</v>
      </c>
      <c r="B8" s="136"/>
      <c r="C8" s="136"/>
      <c r="D8" s="136"/>
      <c r="E8" s="136"/>
      <c r="F8" s="136"/>
      <c r="G8" s="136"/>
      <c r="H8" s="136"/>
      <c r="I8" s="28"/>
      <c r="J8" s="29"/>
      <c r="K8" s="11"/>
      <c r="L8" t="s">
        <v>18</v>
      </c>
    </row>
    <row r="9" spans="1:110" ht="23.25" customHeight="1" x14ac:dyDescent="0.25">
      <c r="G9" s="21" t="s">
        <v>19</v>
      </c>
      <c r="H9" s="20">
        <f>10399521*0.16</f>
        <v>1663923.36</v>
      </c>
      <c r="I9" s="29"/>
      <c r="J9" s="31" t="s">
        <v>31</v>
      </c>
      <c r="K9" s="25"/>
      <c r="L9" t="s">
        <v>20</v>
      </c>
    </row>
    <row r="10" spans="1:110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</row>
    <row r="11" spans="1:110" ht="23.25" customHeight="1" x14ac:dyDescent="0.25">
      <c r="A11" s="9">
        <v>64</v>
      </c>
      <c r="B11" s="48" t="s">
        <v>48</v>
      </c>
      <c r="C11" s="48">
        <v>46677684</v>
      </c>
      <c r="D11" s="57">
        <v>42942</v>
      </c>
      <c r="E11" s="48" t="s">
        <v>49</v>
      </c>
      <c r="F11" s="48">
        <v>63317</v>
      </c>
      <c r="G11" s="66">
        <v>233817</v>
      </c>
      <c r="H11" s="93">
        <v>0</v>
      </c>
      <c r="I11" s="50" t="s">
        <v>116</v>
      </c>
      <c r="J11" s="79">
        <v>6700000</v>
      </c>
      <c r="K11" s="75">
        <v>42964</v>
      </c>
      <c r="L11" s="75">
        <v>42964</v>
      </c>
      <c r="M11" s="23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9">
        <f>+A11+1</f>
        <v>65</v>
      </c>
      <c r="B12" s="48" t="s">
        <v>242</v>
      </c>
      <c r="C12" s="48" t="s">
        <v>243</v>
      </c>
      <c r="D12" s="57">
        <v>42941</v>
      </c>
      <c r="E12" s="48" t="s">
        <v>244</v>
      </c>
      <c r="F12" s="48">
        <v>204117</v>
      </c>
      <c r="G12" s="66">
        <v>236817</v>
      </c>
      <c r="H12" s="93"/>
      <c r="I12" s="50" t="s">
        <v>119</v>
      </c>
      <c r="J12" s="79">
        <v>7500000</v>
      </c>
      <c r="K12" s="75">
        <v>42965</v>
      </c>
      <c r="L12" s="75">
        <v>42965</v>
      </c>
      <c r="M12" s="10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9">
        <f t="shared" ref="A13:A51" si="0">+A12+1</f>
        <v>66</v>
      </c>
      <c r="B13" s="138" t="s">
        <v>31</v>
      </c>
      <c r="C13" s="139"/>
      <c r="D13" s="139"/>
      <c r="E13" s="139"/>
      <c r="F13" s="139"/>
      <c r="G13" s="139"/>
      <c r="H13" s="139"/>
      <c r="I13" s="139"/>
      <c r="J13" s="139"/>
      <c r="K13" s="140"/>
      <c r="L13" s="35"/>
      <c r="M13" s="23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9">
        <f t="shared" si="0"/>
        <v>67</v>
      </c>
      <c r="B14" s="48" t="s">
        <v>82</v>
      </c>
      <c r="C14" s="48">
        <v>3229110</v>
      </c>
      <c r="D14" s="57">
        <v>42948</v>
      </c>
      <c r="E14" s="48" t="s">
        <v>83</v>
      </c>
      <c r="F14" s="48">
        <v>72217</v>
      </c>
      <c r="G14" s="66">
        <v>237017</v>
      </c>
      <c r="H14" s="79">
        <v>638655.46</v>
      </c>
      <c r="I14" s="50">
        <v>249</v>
      </c>
      <c r="J14" s="79">
        <v>4000000</v>
      </c>
      <c r="K14" s="75">
        <v>42972</v>
      </c>
      <c r="L14" s="75">
        <v>42972</v>
      </c>
      <c r="M14" s="23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9">
        <f t="shared" si="0"/>
        <v>68</v>
      </c>
      <c r="B15" s="56" t="s">
        <v>75</v>
      </c>
      <c r="C15" s="56">
        <v>51804271</v>
      </c>
      <c r="D15" s="57">
        <v>42950</v>
      </c>
      <c r="E15" s="56" t="s">
        <v>50</v>
      </c>
      <c r="F15" s="56">
        <v>75217</v>
      </c>
      <c r="G15" s="76">
        <v>240417</v>
      </c>
      <c r="H15" s="107">
        <v>0</v>
      </c>
      <c r="I15" s="47" t="s">
        <v>116</v>
      </c>
      <c r="J15" s="82">
        <v>6666000</v>
      </c>
      <c r="K15" s="119">
        <v>42972</v>
      </c>
      <c r="L15" s="119">
        <v>42972</v>
      </c>
      <c r="M15" s="23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9">
        <f t="shared" si="0"/>
        <v>69</v>
      </c>
      <c r="B16" s="48" t="s">
        <v>245</v>
      </c>
      <c r="C16" s="56">
        <v>800141397</v>
      </c>
      <c r="D16" s="57">
        <v>42950</v>
      </c>
      <c r="E16" s="48" t="s">
        <v>246</v>
      </c>
      <c r="F16" s="48">
        <v>55217</v>
      </c>
      <c r="G16" s="66">
        <v>240517</v>
      </c>
      <c r="H16" s="93"/>
      <c r="I16" s="42" t="s">
        <v>247</v>
      </c>
      <c r="J16" s="79">
        <v>990000</v>
      </c>
      <c r="K16" s="75">
        <v>42976</v>
      </c>
      <c r="L16" s="190"/>
    </row>
    <row r="17" spans="1:12" ht="23.25" customHeight="1" x14ac:dyDescent="0.25">
      <c r="A17" s="9">
        <f t="shared" si="0"/>
        <v>70</v>
      </c>
      <c r="B17" s="56" t="s">
        <v>248</v>
      </c>
      <c r="C17" s="56">
        <v>800141397</v>
      </c>
      <c r="D17" s="57">
        <v>42950</v>
      </c>
      <c r="E17" s="56" t="s">
        <v>249</v>
      </c>
      <c r="F17" s="56">
        <v>62317</v>
      </c>
      <c r="G17" s="76">
        <v>240617</v>
      </c>
      <c r="H17" s="107"/>
      <c r="I17" s="121" t="s">
        <v>247</v>
      </c>
      <c r="J17" s="82">
        <v>957000</v>
      </c>
      <c r="K17" s="75">
        <v>42976</v>
      </c>
      <c r="L17" s="190"/>
    </row>
    <row r="18" spans="1:12" ht="23.25" customHeight="1" x14ac:dyDescent="0.25">
      <c r="A18" s="9">
        <f t="shared" si="0"/>
        <v>71</v>
      </c>
      <c r="B18" s="56" t="s">
        <v>78</v>
      </c>
      <c r="C18" s="56">
        <v>79925465</v>
      </c>
      <c r="D18" s="57">
        <v>42955</v>
      </c>
      <c r="E18" s="56" t="s">
        <v>79</v>
      </c>
      <c r="F18" s="56">
        <v>64917</v>
      </c>
      <c r="G18" s="76">
        <v>241017</v>
      </c>
      <c r="H18" s="82">
        <v>0</v>
      </c>
      <c r="I18" s="47" t="s">
        <v>250</v>
      </c>
      <c r="J18" s="82">
        <f>3172500</f>
        <v>3172500</v>
      </c>
      <c r="K18" s="51">
        <v>42976</v>
      </c>
      <c r="L18" s="51">
        <v>42976</v>
      </c>
    </row>
    <row r="19" spans="1:12" ht="23.25" customHeight="1" x14ac:dyDescent="0.25">
      <c r="A19" s="9">
        <f t="shared" si="0"/>
        <v>72</v>
      </c>
      <c r="B19" s="56" t="s">
        <v>76</v>
      </c>
      <c r="C19" s="56">
        <v>79790930</v>
      </c>
      <c r="D19" s="57">
        <v>42955</v>
      </c>
      <c r="E19" s="56" t="s">
        <v>77</v>
      </c>
      <c r="F19" s="56">
        <v>64117</v>
      </c>
      <c r="G19" s="76">
        <v>241117</v>
      </c>
      <c r="H19" s="107">
        <v>0</v>
      </c>
      <c r="I19" s="47" t="s">
        <v>250</v>
      </c>
      <c r="J19" s="82">
        <f>3172500</f>
        <v>3172500</v>
      </c>
      <c r="K19" s="51">
        <v>42976</v>
      </c>
      <c r="L19" s="51">
        <v>42976</v>
      </c>
    </row>
    <row r="20" spans="1:12" ht="23.25" customHeight="1" x14ac:dyDescent="0.25">
      <c r="A20" s="9">
        <f t="shared" si="0"/>
        <v>73</v>
      </c>
      <c r="B20" s="56" t="s">
        <v>80</v>
      </c>
      <c r="C20" s="56">
        <v>28814974</v>
      </c>
      <c r="D20" s="57">
        <v>42955</v>
      </c>
      <c r="E20" s="56" t="s">
        <v>81</v>
      </c>
      <c r="F20" s="56">
        <v>68917</v>
      </c>
      <c r="G20" s="76">
        <v>241217</v>
      </c>
      <c r="H20" s="82">
        <v>0</v>
      </c>
      <c r="I20" s="47" t="s">
        <v>250</v>
      </c>
      <c r="J20" s="82">
        <f>3172500</f>
        <v>3172500</v>
      </c>
      <c r="K20" s="51">
        <v>42976</v>
      </c>
      <c r="L20" s="51">
        <v>42976</v>
      </c>
    </row>
    <row r="21" spans="1:12" ht="23.25" customHeight="1" x14ac:dyDescent="0.25">
      <c r="A21" s="44">
        <f t="shared" si="0"/>
        <v>74</v>
      </c>
      <c r="B21" s="56" t="s">
        <v>251</v>
      </c>
      <c r="C21" s="56">
        <v>79645676</v>
      </c>
      <c r="D21" s="57">
        <v>42955</v>
      </c>
      <c r="E21" s="56" t="s">
        <v>252</v>
      </c>
      <c r="F21" s="56">
        <v>63417</v>
      </c>
      <c r="G21" s="76" t="s">
        <v>17</v>
      </c>
      <c r="H21" s="82">
        <f>939199.21+939199.21</f>
        <v>1878398.42</v>
      </c>
      <c r="I21" s="47" t="s">
        <v>253</v>
      </c>
      <c r="J21" s="82">
        <f>5882352.94+5882352.94</f>
        <v>11764705.880000001</v>
      </c>
      <c r="K21" s="51">
        <v>42976</v>
      </c>
      <c r="L21" s="51">
        <v>42976</v>
      </c>
    </row>
    <row r="22" spans="1:12" ht="23.25" customHeight="1" x14ac:dyDescent="0.25">
      <c r="A22" s="44">
        <f t="shared" si="0"/>
        <v>75</v>
      </c>
      <c r="B22" s="48" t="s">
        <v>114</v>
      </c>
      <c r="C22" s="48">
        <v>80901162</v>
      </c>
      <c r="D22" s="57">
        <v>42955</v>
      </c>
      <c r="E22" s="48" t="s">
        <v>115</v>
      </c>
      <c r="F22" s="48">
        <v>139617</v>
      </c>
      <c r="G22" s="76">
        <v>241817</v>
      </c>
      <c r="H22" s="93">
        <v>0</v>
      </c>
      <c r="I22" s="50" t="s">
        <v>73</v>
      </c>
      <c r="J22" s="79">
        <v>2283000</v>
      </c>
      <c r="K22" s="51">
        <v>42976</v>
      </c>
      <c r="L22" s="51">
        <v>42976</v>
      </c>
    </row>
    <row r="23" spans="1:12" ht="23.25" customHeight="1" x14ac:dyDescent="0.25">
      <c r="A23" s="44">
        <f t="shared" si="0"/>
        <v>76</v>
      </c>
      <c r="B23" s="48" t="s">
        <v>112</v>
      </c>
      <c r="C23" s="48">
        <v>80011017</v>
      </c>
      <c r="D23" s="57">
        <v>42962</v>
      </c>
      <c r="E23" s="48" t="s">
        <v>113</v>
      </c>
      <c r="F23" s="48">
        <v>113117</v>
      </c>
      <c r="G23" s="76">
        <v>248117</v>
      </c>
      <c r="H23" s="93">
        <v>0</v>
      </c>
      <c r="I23" s="50" t="s">
        <v>254</v>
      </c>
      <c r="J23" s="79">
        <v>4800000</v>
      </c>
      <c r="K23" s="51">
        <v>42978</v>
      </c>
      <c r="L23" s="51">
        <v>42978</v>
      </c>
    </row>
    <row r="24" spans="1:12" ht="23.25" customHeight="1" x14ac:dyDescent="0.25">
      <c r="A24" s="44">
        <f t="shared" si="0"/>
        <v>77</v>
      </c>
      <c r="B24" s="55" t="s">
        <v>84</v>
      </c>
      <c r="C24" s="55">
        <v>79407041</v>
      </c>
      <c r="D24" s="45">
        <v>42969</v>
      </c>
      <c r="E24" s="81" t="s">
        <v>33</v>
      </c>
      <c r="F24" s="55">
        <v>23217</v>
      </c>
      <c r="G24" s="120">
        <v>252117</v>
      </c>
      <c r="H24" s="93">
        <v>0</v>
      </c>
      <c r="I24" s="121" t="s">
        <v>255</v>
      </c>
      <c r="J24" s="79">
        <v>8250000</v>
      </c>
      <c r="K24" s="51">
        <v>42978</v>
      </c>
      <c r="L24" s="51">
        <v>42978</v>
      </c>
    </row>
    <row r="25" spans="1:12" ht="23.25" customHeight="1" x14ac:dyDescent="0.25">
      <c r="A25" s="44">
        <f t="shared" si="0"/>
        <v>78</v>
      </c>
      <c r="B25" s="55" t="s">
        <v>87</v>
      </c>
      <c r="C25" s="55">
        <v>52409970</v>
      </c>
      <c r="D25" s="45">
        <v>42969</v>
      </c>
      <c r="E25" s="56" t="s">
        <v>35</v>
      </c>
      <c r="F25" s="55">
        <v>40617</v>
      </c>
      <c r="G25" s="120">
        <v>252217</v>
      </c>
      <c r="H25" s="93">
        <v>0</v>
      </c>
      <c r="I25" s="121" t="s">
        <v>117</v>
      </c>
      <c r="J25" s="10">
        <v>3300000</v>
      </c>
      <c r="K25" s="51">
        <v>42978</v>
      </c>
      <c r="L25" s="51">
        <v>42978</v>
      </c>
    </row>
    <row r="26" spans="1:12" ht="23.25" customHeight="1" x14ac:dyDescent="0.25">
      <c r="A26" s="44">
        <f t="shared" si="0"/>
        <v>79</v>
      </c>
      <c r="B26" s="56" t="s">
        <v>88</v>
      </c>
      <c r="C26" s="56">
        <v>65756444</v>
      </c>
      <c r="D26" s="45">
        <v>42969</v>
      </c>
      <c r="E26" s="56" t="s">
        <v>40</v>
      </c>
      <c r="F26" s="56">
        <v>40917</v>
      </c>
      <c r="G26" s="76">
        <v>252317</v>
      </c>
      <c r="H26" s="107">
        <v>0</v>
      </c>
      <c r="I26" s="121" t="s">
        <v>117</v>
      </c>
      <c r="J26" s="82">
        <v>2530000</v>
      </c>
      <c r="K26" s="51">
        <v>42978</v>
      </c>
      <c r="L26" s="51">
        <v>42978</v>
      </c>
    </row>
    <row r="27" spans="1:12" ht="23.25" customHeight="1" x14ac:dyDescent="0.25">
      <c r="A27" s="44">
        <f t="shared" si="0"/>
        <v>80</v>
      </c>
      <c r="B27" s="55" t="s">
        <v>89</v>
      </c>
      <c r="C27" s="108">
        <v>1065658348</v>
      </c>
      <c r="D27" s="45">
        <v>42969</v>
      </c>
      <c r="E27" s="108" t="s">
        <v>74</v>
      </c>
      <c r="F27" s="55">
        <v>41217</v>
      </c>
      <c r="G27" s="120">
        <v>252417</v>
      </c>
      <c r="H27" s="93">
        <v>0</v>
      </c>
      <c r="I27" s="121" t="s">
        <v>117</v>
      </c>
      <c r="J27" s="10">
        <v>2200000</v>
      </c>
      <c r="K27" s="51">
        <v>42978</v>
      </c>
      <c r="L27" s="51">
        <v>42978</v>
      </c>
    </row>
    <row r="28" spans="1:12" ht="23.25" customHeight="1" x14ac:dyDescent="0.25">
      <c r="A28" s="56">
        <f t="shared" si="0"/>
        <v>81</v>
      </c>
      <c r="B28" s="48" t="s">
        <v>256</v>
      </c>
      <c r="C28" s="48">
        <v>79137482</v>
      </c>
      <c r="D28" s="45">
        <v>42969</v>
      </c>
      <c r="E28" s="48" t="s">
        <v>118</v>
      </c>
      <c r="F28" s="48">
        <v>203917</v>
      </c>
      <c r="G28" s="66">
        <v>252517</v>
      </c>
      <c r="H28" s="93">
        <v>0</v>
      </c>
      <c r="I28" s="50" t="s">
        <v>257</v>
      </c>
      <c r="J28" s="79">
        <v>3440000</v>
      </c>
      <c r="K28" s="51">
        <v>42978</v>
      </c>
      <c r="L28" s="51">
        <v>42978</v>
      </c>
    </row>
    <row r="29" spans="1:12" ht="23.25" customHeight="1" x14ac:dyDescent="0.25">
      <c r="A29" s="56">
        <f t="shared" si="0"/>
        <v>82</v>
      </c>
      <c r="B29" s="48" t="s">
        <v>258</v>
      </c>
      <c r="C29" s="48">
        <v>79428337</v>
      </c>
      <c r="D29" s="45">
        <v>42969</v>
      </c>
      <c r="E29" s="48" t="s">
        <v>120</v>
      </c>
      <c r="F29" s="48">
        <v>204017</v>
      </c>
      <c r="G29" s="66">
        <v>252617</v>
      </c>
      <c r="H29" s="93">
        <v>0</v>
      </c>
      <c r="I29" s="50" t="s">
        <v>257</v>
      </c>
      <c r="J29" s="79">
        <v>3250000</v>
      </c>
      <c r="K29" s="51">
        <v>42978</v>
      </c>
      <c r="L29" s="51">
        <v>42978</v>
      </c>
    </row>
    <row r="30" spans="1:12" ht="23.25" customHeight="1" x14ac:dyDescent="0.25">
      <c r="A30" s="56">
        <f t="shared" si="0"/>
        <v>83</v>
      </c>
      <c r="B30" s="48" t="s">
        <v>46</v>
      </c>
      <c r="C30" s="48">
        <v>52097319</v>
      </c>
      <c r="D30" s="57">
        <v>42969</v>
      </c>
      <c r="E30" s="48" t="s">
        <v>47</v>
      </c>
      <c r="F30" s="48">
        <v>42217</v>
      </c>
      <c r="G30" s="66">
        <v>253117</v>
      </c>
      <c r="H30" s="93">
        <v>0</v>
      </c>
      <c r="I30" s="50" t="s">
        <v>259</v>
      </c>
      <c r="J30" s="79">
        <v>4644000</v>
      </c>
      <c r="K30" s="51">
        <v>42978</v>
      </c>
      <c r="L30" s="51">
        <v>42978</v>
      </c>
    </row>
    <row r="31" spans="1:12" ht="23.25" customHeight="1" x14ac:dyDescent="0.25">
      <c r="A31" s="56">
        <f t="shared" si="0"/>
        <v>84</v>
      </c>
      <c r="B31" s="48" t="s">
        <v>260</v>
      </c>
      <c r="C31" s="48" t="s">
        <v>243</v>
      </c>
      <c r="D31" s="57">
        <v>42970</v>
      </c>
      <c r="E31" s="48" t="s">
        <v>244</v>
      </c>
      <c r="F31" s="48">
        <v>204117</v>
      </c>
      <c r="G31" s="66">
        <v>258117</v>
      </c>
      <c r="H31" s="93">
        <v>0</v>
      </c>
      <c r="I31" s="50" t="s">
        <v>257</v>
      </c>
      <c r="J31" s="79">
        <v>7500000</v>
      </c>
      <c r="K31" s="51">
        <v>42978</v>
      </c>
      <c r="L31" s="51">
        <v>42978</v>
      </c>
    </row>
    <row r="32" spans="1:12" ht="23.25" customHeight="1" x14ac:dyDescent="0.25">
      <c r="A32" s="56">
        <f t="shared" si="0"/>
        <v>85</v>
      </c>
      <c r="B32" s="48" t="s">
        <v>44</v>
      </c>
      <c r="C32" s="48">
        <v>80229957</v>
      </c>
      <c r="D32" s="57">
        <v>42971</v>
      </c>
      <c r="E32" s="48" t="s">
        <v>45</v>
      </c>
      <c r="F32" s="48">
        <v>63217</v>
      </c>
      <c r="G32" s="66">
        <v>265317</v>
      </c>
      <c r="H32" s="93">
        <v>0</v>
      </c>
      <c r="I32" s="50" t="s">
        <v>259</v>
      </c>
      <c r="J32" s="79">
        <v>4500000</v>
      </c>
      <c r="K32" s="51">
        <v>42978</v>
      </c>
      <c r="L32" s="51">
        <v>42978</v>
      </c>
    </row>
    <row r="33" spans="1:12" ht="23.25" customHeight="1" x14ac:dyDescent="0.25">
      <c r="A33" s="56">
        <f t="shared" si="0"/>
        <v>86</v>
      </c>
      <c r="B33" s="55" t="s">
        <v>86</v>
      </c>
      <c r="C33" s="55">
        <v>80437758</v>
      </c>
      <c r="D33" s="45">
        <v>42972</v>
      </c>
      <c r="E33" s="55" t="s">
        <v>34</v>
      </c>
      <c r="F33" s="55">
        <v>24517</v>
      </c>
      <c r="G33" s="120">
        <v>270017</v>
      </c>
      <c r="H33" s="93">
        <v>0</v>
      </c>
      <c r="I33" s="121" t="s">
        <v>255</v>
      </c>
      <c r="J33" s="79">
        <v>2400000</v>
      </c>
      <c r="K33" s="51">
        <v>42978</v>
      </c>
      <c r="L33" s="51">
        <v>42978</v>
      </c>
    </row>
    <row r="34" spans="1:12" ht="23.25" customHeight="1" x14ac:dyDescent="0.25">
      <c r="A34" s="56">
        <f t="shared" si="0"/>
        <v>87</v>
      </c>
      <c r="B34" s="48" t="s">
        <v>82</v>
      </c>
      <c r="C34" s="48">
        <v>3229110</v>
      </c>
      <c r="D34" s="57">
        <v>42975</v>
      </c>
      <c r="E34" s="48" t="s">
        <v>83</v>
      </c>
      <c r="F34" s="48">
        <v>72217</v>
      </c>
      <c r="G34" s="120">
        <v>271917</v>
      </c>
      <c r="H34" s="79">
        <v>638655.46</v>
      </c>
      <c r="I34" s="50">
        <v>251</v>
      </c>
      <c r="J34" s="79">
        <v>4000000</v>
      </c>
      <c r="K34" s="51">
        <v>42978</v>
      </c>
      <c r="L34" s="51">
        <v>42978</v>
      </c>
    </row>
    <row r="35" spans="1:12" ht="23.25" customHeight="1" x14ac:dyDescent="0.25">
      <c r="A35" s="56">
        <f t="shared" si="0"/>
        <v>88</v>
      </c>
      <c r="B35" s="56" t="s">
        <v>75</v>
      </c>
      <c r="C35" s="56">
        <v>51804271</v>
      </c>
      <c r="D35" s="57">
        <v>42950</v>
      </c>
      <c r="E35" s="56" t="s">
        <v>50</v>
      </c>
      <c r="F35" s="56">
        <v>75217</v>
      </c>
      <c r="G35" s="76">
        <v>276617</v>
      </c>
      <c r="H35" s="107">
        <v>0</v>
      </c>
      <c r="I35" s="47" t="s">
        <v>259</v>
      </c>
      <c r="J35" s="82">
        <v>6666000</v>
      </c>
      <c r="K35" s="51">
        <v>42999</v>
      </c>
      <c r="L35" s="51">
        <v>42999</v>
      </c>
    </row>
    <row r="36" spans="1:12" ht="23.25" customHeight="1" x14ac:dyDescent="0.25">
      <c r="A36" s="56">
        <f t="shared" si="0"/>
        <v>89</v>
      </c>
      <c r="B36" s="48" t="s">
        <v>114</v>
      </c>
      <c r="C36" s="48">
        <v>80901162</v>
      </c>
      <c r="D36" s="57">
        <v>42991</v>
      </c>
      <c r="E36" s="48" t="s">
        <v>115</v>
      </c>
      <c r="F36" s="48">
        <v>139617</v>
      </c>
      <c r="G36" s="191">
        <v>294817</v>
      </c>
      <c r="H36" s="93">
        <v>0</v>
      </c>
      <c r="I36" s="50" t="s">
        <v>111</v>
      </c>
      <c r="J36" s="79">
        <v>2283000</v>
      </c>
      <c r="K36" s="51">
        <v>43007</v>
      </c>
      <c r="L36" s="51">
        <v>43007</v>
      </c>
    </row>
    <row r="37" spans="1:12" ht="23.25" customHeight="1" x14ac:dyDescent="0.25">
      <c r="A37" s="56">
        <f t="shared" si="0"/>
        <v>90</v>
      </c>
      <c r="B37" s="56" t="s">
        <v>78</v>
      </c>
      <c r="C37" s="56">
        <v>79925465</v>
      </c>
      <c r="D37" s="57">
        <v>42991</v>
      </c>
      <c r="E37" s="56" t="s">
        <v>79</v>
      </c>
      <c r="F37" s="56">
        <v>64917</v>
      </c>
      <c r="G37" s="191">
        <v>294917</v>
      </c>
      <c r="H37" s="82">
        <v>0</v>
      </c>
      <c r="I37" s="47" t="s">
        <v>85</v>
      </c>
      <c r="J37" s="82">
        <v>3172500</v>
      </c>
      <c r="K37" s="51">
        <v>43007</v>
      </c>
      <c r="L37" s="51">
        <v>43007</v>
      </c>
    </row>
    <row r="38" spans="1:12" ht="23.25" customHeight="1" x14ac:dyDescent="0.25">
      <c r="A38" s="56">
        <f t="shared" si="0"/>
        <v>91</v>
      </c>
      <c r="B38" s="56" t="s">
        <v>80</v>
      </c>
      <c r="C38" s="56">
        <v>28814974</v>
      </c>
      <c r="D38" s="57">
        <v>42991</v>
      </c>
      <c r="E38" s="56" t="s">
        <v>81</v>
      </c>
      <c r="F38" s="56">
        <v>68917</v>
      </c>
      <c r="G38" s="191"/>
      <c r="H38" s="82">
        <v>0</v>
      </c>
      <c r="I38" s="47" t="s">
        <v>85</v>
      </c>
      <c r="J38" s="82">
        <f>3172500</f>
        <v>3172500</v>
      </c>
      <c r="K38" s="51">
        <v>43007</v>
      </c>
      <c r="L38" s="51">
        <v>43007</v>
      </c>
    </row>
    <row r="39" spans="1:12" ht="23.25" customHeight="1" x14ac:dyDescent="0.25">
      <c r="A39" s="56">
        <f t="shared" si="0"/>
        <v>92</v>
      </c>
      <c r="B39" s="56" t="s">
        <v>76</v>
      </c>
      <c r="C39" s="56">
        <v>79790930</v>
      </c>
      <c r="D39" s="57">
        <v>42991</v>
      </c>
      <c r="E39" s="56" t="s">
        <v>77</v>
      </c>
      <c r="F39" s="56">
        <v>64117</v>
      </c>
      <c r="G39" s="191">
        <v>295117</v>
      </c>
      <c r="H39" s="107">
        <v>0</v>
      </c>
      <c r="I39" s="47" t="s">
        <v>85</v>
      </c>
      <c r="J39" s="82">
        <f>3172500</f>
        <v>3172500</v>
      </c>
      <c r="K39" s="51">
        <v>43007</v>
      </c>
      <c r="L39" s="51">
        <v>43007</v>
      </c>
    </row>
    <row r="40" spans="1:12" ht="23.25" customHeight="1" x14ac:dyDescent="0.25">
      <c r="A40" s="56">
        <f t="shared" si="0"/>
        <v>93</v>
      </c>
      <c r="B40" s="48" t="s">
        <v>48</v>
      </c>
      <c r="C40" s="48">
        <v>46677684</v>
      </c>
      <c r="D40" s="57">
        <v>42991</v>
      </c>
      <c r="E40" s="48" t="s">
        <v>49</v>
      </c>
      <c r="F40" s="48">
        <v>63317</v>
      </c>
      <c r="G40" s="163"/>
      <c r="H40" s="93">
        <v>0</v>
      </c>
      <c r="I40" s="50" t="s">
        <v>259</v>
      </c>
      <c r="J40" s="79">
        <v>6700000</v>
      </c>
      <c r="K40" s="51">
        <v>43007</v>
      </c>
      <c r="L40" s="51">
        <v>43007</v>
      </c>
    </row>
    <row r="41" spans="1:12" ht="23.25" customHeight="1" x14ac:dyDescent="0.25">
      <c r="A41" s="56">
        <f t="shared" si="0"/>
        <v>94</v>
      </c>
      <c r="B41" s="48" t="s">
        <v>112</v>
      </c>
      <c r="C41" s="48">
        <v>80011017</v>
      </c>
      <c r="D41" s="57">
        <v>42993</v>
      </c>
      <c r="E41" s="48" t="s">
        <v>113</v>
      </c>
      <c r="F41" s="48">
        <v>113117</v>
      </c>
      <c r="G41" s="191"/>
      <c r="H41" s="93">
        <v>0</v>
      </c>
      <c r="I41" s="50" t="s">
        <v>261</v>
      </c>
      <c r="J41" s="79">
        <v>4800000</v>
      </c>
      <c r="K41" s="75">
        <v>43007</v>
      </c>
      <c r="L41" s="75">
        <v>43007</v>
      </c>
    </row>
    <row r="42" spans="1:12" ht="23.25" customHeight="1" x14ac:dyDescent="0.25">
      <c r="A42" s="56">
        <f t="shared" si="0"/>
        <v>95</v>
      </c>
      <c r="B42" s="56" t="s">
        <v>251</v>
      </c>
      <c r="C42" s="56">
        <v>79645676</v>
      </c>
      <c r="D42" s="57">
        <v>42993</v>
      </c>
      <c r="E42" s="56" t="s">
        <v>252</v>
      </c>
      <c r="F42" s="56">
        <v>63417</v>
      </c>
      <c r="G42" s="191" t="s">
        <v>17</v>
      </c>
      <c r="H42" s="82">
        <v>939199.21</v>
      </c>
      <c r="I42" s="47">
        <v>117</v>
      </c>
      <c r="J42" s="82">
        <v>5882352.9400000004</v>
      </c>
      <c r="K42" s="75">
        <v>43007</v>
      </c>
      <c r="L42" s="75">
        <v>43007</v>
      </c>
    </row>
    <row r="43" spans="1:12" ht="23.25" customHeight="1" x14ac:dyDescent="0.25">
      <c r="A43" s="56">
        <f t="shared" si="0"/>
        <v>96</v>
      </c>
      <c r="B43" s="48" t="s">
        <v>46</v>
      </c>
      <c r="C43" s="48">
        <v>52097319</v>
      </c>
      <c r="D43" s="57">
        <v>43000</v>
      </c>
      <c r="E43" s="48" t="s">
        <v>47</v>
      </c>
      <c r="F43" s="48">
        <v>42217</v>
      </c>
      <c r="G43" s="66">
        <v>304417</v>
      </c>
      <c r="H43" s="93">
        <v>0</v>
      </c>
      <c r="I43" s="50" t="s">
        <v>262</v>
      </c>
      <c r="J43" s="79">
        <v>4644000</v>
      </c>
      <c r="K43" s="75">
        <v>43007</v>
      </c>
      <c r="L43" s="190"/>
    </row>
    <row r="44" spans="1:12" ht="23.25" customHeight="1" x14ac:dyDescent="0.25">
      <c r="A44" s="56">
        <f t="shared" si="0"/>
        <v>97</v>
      </c>
      <c r="B44" s="55" t="s">
        <v>84</v>
      </c>
      <c r="C44" s="55">
        <v>79407041</v>
      </c>
      <c r="D44" s="45">
        <v>43000</v>
      </c>
      <c r="E44" s="81" t="s">
        <v>33</v>
      </c>
      <c r="F44" s="55">
        <v>23217</v>
      </c>
      <c r="G44" s="120">
        <v>304517</v>
      </c>
      <c r="H44" s="93">
        <v>0</v>
      </c>
      <c r="I44" s="121" t="s">
        <v>263</v>
      </c>
      <c r="J44" s="79">
        <v>8250000</v>
      </c>
      <c r="K44" s="75">
        <v>43007</v>
      </c>
      <c r="L44" s="75">
        <v>43007</v>
      </c>
    </row>
    <row r="45" spans="1:12" ht="23.25" customHeight="1" x14ac:dyDescent="0.25">
      <c r="A45" s="56">
        <f t="shared" si="0"/>
        <v>98</v>
      </c>
      <c r="B45" s="55" t="s">
        <v>87</v>
      </c>
      <c r="C45" s="55">
        <v>52409970</v>
      </c>
      <c r="D45" s="45">
        <v>43000</v>
      </c>
      <c r="E45" s="56" t="s">
        <v>35</v>
      </c>
      <c r="F45" s="55">
        <v>40617</v>
      </c>
      <c r="G45" s="120">
        <v>304617</v>
      </c>
      <c r="H45" s="93">
        <v>0</v>
      </c>
      <c r="I45" s="121" t="s">
        <v>255</v>
      </c>
      <c r="J45" s="10">
        <v>3300000</v>
      </c>
      <c r="K45" s="75">
        <v>43007</v>
      </c>
      <c r="L45" s="75">
        <v>43007</v>
      </c>
    </row>
    <row r="46" spans="1:12" ht="23.25" customHeight="1" x14ac:dyDescent="0.25">
      <c r="A46" s="56">
        <f t="shared" si="0"/>
        <v>99</v>
      </c>
      <c r="B46" s="56" t="s">
        <v>88</v>
      </c>
      <c r="C46" s="56">
        <v>65756444</v>
      </c>
      <c r="D46" s="45">
        <v>43000</v>
      </c>
      <c r="E46" s="56" t="s">
        <v>40</v>
      </c>
      <c r="F46" s="56">
        <v>40917</v>
      </c>
      <c r="G46" s="76">
        <v>304717</v>
      </c>
      <c r="H46" s="107">
        <v>0</v>
      </c>
      <c r="I46" s="121" t="s">
        <v>255</v>
      </c>
      <c r="J46" s="82">
        <v>2530000</v>
      </c>
      <c r="K46" s="75">
        <v>43007</v>
      </c>
      <c r="L46" s="75">
        <v>43007</v>
      </c>
    </row>
    <row r="47" spans="1:12" ht="23.25" customHeight="1" x14ac:dyDescent="0.25">
      <c r="A47" s="56">
        <f t="shared" si="0"/>
        <v>100</v>
      </c>
      <c r="B47" s="55" t="s">
        <v>89</v>
      </c>
      <c r="C47" s="108">
        <v>1065658348</v>
      </c>
      <c r="D47" s="45">
        <v>43000</v>
      </c>
      <c r="E47" s="108" t="s">
        <v>74</v>
      </c>
      <c r="F47" s="55">
        <v>41217</v>
      </c>
      <c r="G47" s="120">
        <v>304817</v>
      </c>
      <c r="H47" s="93">
        <v>0</v>
      </c>
      <c r="I47" s="121" t="s">
        <v>255</v>
      </c>
      <c r="J47" s="10">
        <v>2200000</v>
      </c>
      <c r="K47" s="51">
        <v>43007</v>
      </c>
      <c r="L47" s="51">
        <v>43007</v>
      </c>
    </row>
    <row r="48" spans="1:12" ht="23.25" customHeight="1" x14ac:dyDescent="0.25">
      <c r="A48" s="56">
        <f t="shared" si="0"/>
        <v>101</v>
      </c>
      <c r="B48" s="48" t="s">
        <v>256</v>
      </c>
      <c r="C48" s="48">
        <v>79137482</v>
      </c>
      <c r="D48" s="45">
        <v>43000</v>
      </c>
      <c r="E48" s="48" t="s">
        <v>118</v>
      </c>
      <c r="F48" s="48">
        <v>203917</v>
      </c>
      <c r="G48" s="66">
        <v>304917</v>
      </c>
      <c r="H48" s="93">
        <v>0</v>
      </c>
      <c r="I48" s="50" t="s">
        <v>41</v>
      </c>
      <c r="J48" s="79">
        <v>3440000</v>
      </c>
      <c r="K48" s="75">
        <v>43007</v>
      </c>
      <c r="L48" s="75">
        <v>43007</v>
      </c>
    </row>
    <row r="49" spans="1:12" ht="23.25" customHeight="1" x14ac:dyDescent="0.25">
      <c r="A49" s="56">
        <f t="shared" si="0"/>
        <v>102</v>
      </c>
      <c r="B49" s="125" t="s">
        <v>31</v>
      </c>
      <c r="C49" s="126"/>
      <c r="D49" s="126"/>
      <c r="E49" s="126"/>
      <c r="F49" s="126"/>
      <c r="G49" s="126"/>
      <c r="H49" s="126"/>
      <c r="I49" s="126"/>
      <c r="J49" s="126"/>
      <c r="K49" s="127"/>
      <c r="L49" s="89"/>
    </row>
    <row r="50" spans="1:12" ht="23.25" customHeight="1" x14ac:dyDescent="0.25">
      <c r="A50" s="56">
        <f t="shared" si="0"/>
        <v>103</v>
      </c>
      <c r="B50" s="48" t="s">
        <v>260</v>
      </c>
      <c r="C50" s="48" t="s">
        <v>243</v>
      </c>
      <c r="D50" s="57">
        <v>43000</v>
      </c>
      <c r="E50" s="48" t="s">
        <v>244</v>
      </c>
      <c r="F50" s="48">
        <v>204117</v>
      </c>
      <c r="G50" s="66">
        <v>305117</v>
      </c>
      <c r="H50" s="93">
        <v>0</v>
      </c>
      <c r="I50" s="50" t="s">
        <v>257</v>
      </c>
      <c r="J50" s="79">
        <v>7500000</v>
      </c>
      <c r="K50" s="75">
        <v>43007</v>
      </c>
      <c r="L50" s="75">
        <v>43007</v>
      </c>
    </row>
    <row r="51" spans="1:12" ht="23.25" customHeight="1" x14ac:dyDescent="0.25">
      <c r="A51" s="56">
        <f t="shared" si="0"/>
        <v>104</v>
      </c>
      <c r="B51" s="55" t="s">
        <v>86</v>
      </c>
      <c r="C51" s="55">
        <v>80437758</v>
      </c>
      <c r="D51" s="45">
        <v>43003</v>
      </c>
      <c r="E51" s="55" t="s">
        <v>34</v>
      </c>
      <c r="F51" s="55">
        <v>24517</v>
      </c>
      <c r="G51" s="120">
        <v>306417</v>
      </c>
      <c r="H51" s="93">
        <v>0</v>
      </c>
      <c r="I51" s="121" t="s">
        <v>263</v>
      </c>
      <c r="J51" s="79">
        <v>2400000</v>
      </c>
      <c r="K51" s="152">
        <v>43007</v>
      </c>
      <c r="L51" s="152">
        <v>43007</v>
      </c>
    </row>
  </sheetData>
  <mergeCells count="8">
    <mergeCell ref="B13:K13"/>
    <mergeCell ref="B49:K49"/>
    <mergeCell ref="A8:H8"/>
    <mergeCell ref="A1:K1"/>
    <mergeCell ref="A2:K2"/>
    <mergeCell ref="A3:K3"/>
    <mergeCell ref="A5:K5"/>
    <mergeCell ref="A7:K7"/>
  </mergeCells>
  <conditionalFormatting sqref="J37">
    <cfRule type="iconSet" priority="2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2"/>
  <sheetViews>
    <sheetView zoomScale="70" zoomScaleNormal="70" workbookViewId="0">
      <pane ySplit="10" topLeftCell="A11" activePane="bottomLeft" state="frozen"/>
      <selection activeCell="A196" sqref="A196"/>
      <selection pane="bottomLeft" activeCell="P16" sqref="P16"/>
    </sheetView>
  </sheetViews>
  <sheetFormatPr baseColWidth="10" defaultRowHeight="23.25" customHeight="1" x14ac:dyDescent="0.25"/>
  <cols>
    <col min="1" max="1" width="9.5703125" style="26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2.140625" style="24" customWidth="1"/>
    <col min="10" max="10" width="27.140625" style="18" customWidth="1"/>
    <col min="11" max="11" width="23.28515625" customWidth="1"/>
    <col min="12" max="12" width="28.140625" hidden="1" customWidth="1"/>
    <col min="13" max="13" width="29.140625" style="11" hidden="1" customWidth="1"/>
    <col min="14" max="14" width="34.140625" style="11" customWidth="1"/>
    <col min="15" max="15" width="43.28515625" style="11" customWidth="1"/>
    <col min="16" max="16" width="32" style="11" customWidth="1"/>
    <col min="17" max="17" width="40.5703125" style="11" customWidth="1"/>
    <col min="18" max="18" width="34.42578125" style="11" customWidth="1"/>
    <col min="19" max="19" width="34" style="11" customWidth="1"/>
    <col min="20" max="20" width="44.28515625" style="11" customWidth="1"/>
    <col min="21" max="21" width="33.5703125" style="11" customWidth="1"/>
    <col min="22" max="110" width="11.42578125" style="11"/>
  </cols>
  <sheetData>
    <row r="1" spans="1:110" ht="23.25" customHeight="1" x14ac:dyDescent="0.25">
      <c r="A1" s="136" t="s">
        <v>11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9" t="s">
        <v>14</v>
      </c>
    </row>
    <row r="2" spans="1:110" ht="23.25" customHeight="1" x14ac:dyDescent="0.25">
      <c r="A2" s="136" t="s">
        <v>12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27"/>
    </row>
    <row r="3" spans="1:110" ht="23.25" customHeight="1" x14ac:dyDescent="0.25">
      <c r="A3" s="136" t="s">
        <v>13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27"/>
    </row>
    <row r="4" spans="1:110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10" ht="23.25" customHeight="1" x14ac:dyDescent="0.25">
      <c r="A5" s="136" t="s">
        <v>138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27"/>
    </row>
    <row r="6" spans="1:110" ht="23.25" customHeight="1" x14ac:dyDescent="0.25">
      <c r="A6" s="11"/>
      <c r="H6"/>
      <c r="I6"/>
      <c r="J6"/>
      <c r="L6" t="s">
        <v>15</v>
      </c>
    </row>
    <row r="7" spans="1:110" ht="23.25" customHeight="1" x14ac:dyDescent="0.25">
      <c r="A7" s="137" t="s">
        <v>38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t="s">
        <v>16</v>
      </c>
    </row>
    <row r="8" spans="1:110" ht="23.25" customHeight="1" x14ac:dyDescent="0.25">
      <c r="A8" s="136" t="s">
        <v>17</v>
      </c>
      <c r="B8" s="136"/>
      <c r="C8" s="136"/>
      <c r="D8" s="136"/>
      <c r="E8" s="136"/>
      <c r="F8" s="136"/>
      <c r="G8" s="136"/>
      <c r="H8" s="136"/>
      <c r="I8" s="28"/>
      <c r="J8" s="29"/>
      <c r="K8" s="11"/>
      <c r="L8" t="s">
        <v>18</v>
      </c>
    </row>
    <row r="9" spans="1:110" ht="23.25" customHeight="1" x14ac:dyDescent="0.25">
      <c r="G9" s="21" t="s">
        <v>19</v>
      </c>
      <c r="H9" s="20">
        <f>10399521*0.16</f>
        <v>1663923.36</v>
      </c>
      <c r="I9" s="29"/>
      <c r="J9" s="31" t="s">
        <v>31</v>
      </c>
      <c r="K9" s="25"/>
      <c r="L9" t="s">
        <v>20</v>
      </c>
    </row>
    <row r="10" spans="1:110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</row>
    <row r="11" spans="1:110" ht="23.25" customHeight="1" x14ac:dyDescent="0.25">
      <c r="A11" s="32">
        <v>27</v>
      </c>
      <c r="B11" s="194" t="s">
        <v>264</v>
      </c>
      <c r="C11" s="63">
        <v>901086911</v>
      </c>
      <c r="D11" s="61">
        <v>42916</v>
      </c>
      <c r="E11" s="194" t="s">
        <v>265</v>
      </c>
      <c r="F11" s="195">
        <v>164817</v>
      </c>
      <c r="G11" s="63">
        <v>206717</v>
      </c>
      <c r="H11" s="109">
        <v>0</v>
      </c>
      <c r="I11" s="112" t="s">
        <v>90</v>
      </c>
      <c r="J11" s="110">
        <f>7767075694.25*0.2</f>
        <v>1553415138.8500001</v>
      </c>
      <c r="K11" s="54">
        <v>42977</v>
      </c>
      <c r="L11" s="54">
        <v>42977</v>
      </c>
      <c r="M11" s="23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32">
        <f>A11+1</f>
        <v>28</v>
      </c>
      <c r="B12" s="63" t="s">
        <v>121</v>
      </c>
      <c r="C12" s="196">
        <v>901024856</v>
      </c>
      <c r="D12" s="61">
        <v>42923</v>
      </c>
      <c r="E12" s="63" t="s">
        <v>122</v>
      </c>
      <c r="F12" s="196">
        <v>3717</v>
      </c>
      <c r="G12" s="63">
        <v>207717</v>
      </c>
      <c r="H12" s="111">
        <v>4363837.84</v>
      </c>
      <c r="I12" s="197">
        <v>8</v>
      </c>
      <c r="J12" s="109">
        <f>686213500.03-343106750.02</f>
        <v>343106750.00999999</v>
      </c>
      <c r="K12" s="54">
        <v>42977</v>
      </c>
      <c r="L12" s="54">
        <v>42977</v>
      </c>
      <c r="M12" s="10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32">
        <f t="shared" ref="A13:A22" si="0">A12+1</f>
        <v>29</v>
      </c>
      <c r="B13" s="198" t="s">
        <v>266</v>
      </c>
      <c r="C13" s="199">
        <v>901067862</v>
      </c>
      <c r="D13" s="61">
        <v>42923</v>
      </c>
      <c r="E13" s="200" t="s">
        <v>267</v>
      </c>
      <c r="F13" s="195">
        <v>69317</v>
      </c>
      <c r="G13" s="196">
        <v>207917</v>
      </c>
      <c r="H13" s="96">
        <v>564003.29</v>
      </c>
      <c r="I13" s="192" t="s">
        <v>268</v>
      </c>
      <c r="J13" s="96">
        <f>127217374.17-(688410631.26*3.69597354812532%)</f>
        <v>101773899.33614786</v>
      </c>
      <c r="K13" s="54">
        <v>42977</v>
      </c>
      <c r="L13" s="54">
        <v>42977</v>
      </c>
    </row>
    <row r="14" spans="1:110" ht="23.25" customHeight="1" x14ac:dyDescent="0.25">
      <c r="A14" s="32">
        <f t="shared" si="0"/>
        <v>30</v>
      </c>
      <c r="B14" s="201" t="s">
        <v>269</v>
      </c>
      <c r="C14" s="202" t="s">
        <v>286</v>
      </c>
      <c r="D14" s="61">
        <v>42923</v>
      </c>
      <c r="E14" s="196" t="s">
        <v>129</v>
      </c>
      <c r="F14" s="203">
        <v>69717</v>
      </c>
      <c r="G14" s="62">
        <v>208017</v>
      </c>
      <c r="H14" s="113">
        <v>1600887.68</v>
      </c>
      <c r="I14" s="52">
        <v>202</v>
      </c>
      <c r="J14" s="96">
        <v>10026612.33</v>
      </c>
      <c r="K14" s="54">
        <v>42977</v>
      </c>
      <c r="L14" s="54">
        <v>42977</v>
      </c>
    </row>
    <row r="15" spans="1:110" ht="23.25" customHeight="1" x14ac:dyDescent="0.25">
      <c r="A15" s="32">
        <f t="shared" si="0"/>
        <v>31</v>
      </c>
      <c r="B15" s="201" t="s">
        <v>270</v>
      </c>
      <c r="C15" s="196">
        <v>800141397</v>
      </c>
      <c r="D15" s="61">
        <v>42935</v>
      </c>
      <c r="E15" s="200" t="s">
        <v>271</v>
      </c>
      <c r="F15" s="203">
        <v>148217</v>
      </c>
      <c r="G15" s="62">
        <v>223017</v>
      </c>
      <c r="H15" s="113"/>
      <c r="I15" s="112" t="s">
        <v>272</v>
      </c>
      <c r="J15" s="204">
        <v>1991352000</v>
      </c>
      <c r="K15" s="54">
        <v>42977</v>
      </c>
      <c r="L15" s="54">
        <v>42977</v>
      </c>
    </row>
    <row r="16" spans="1:110" ht="23.25" customHeight="1" x14ac:dyDescent="0.25">
      <c r="A16" s="32">
        <f t="shared" si="0"/>
        <v>32</v>
      </c>
      <c r="B16" s="194" t="s">
        <v>273</v>
      </c>
      <c r="C16" s="196">
        <v>901085020</v>
      </c>
      <c r="D16" s="61">
        <v>42929</v>
      </c>
      <c r="E16" s="194" t="s">
        <v>274</v>
      </c>
      <c r="F16" s="195">
        <v>161317</v>
      </c>
      <c r="G16" s="62">
        <v>232017</v>
      </c>
      <c r="H16" s="113">
        <v>0</v>
      </c>
      <c r="I16" s="112" t="s">
        <v>275</v>
      </c>
      <c r="J16" s="109">
        <v>6855124114.7399998</v>
      </c>
      <c r="K16" s="193"/>
      <c r="L16" s="193"/>
    </row>
    <row r="17" spans="1:12" ht="23.25" customHeight="1" x14ac:dyDescent="0.25">
      <c r="A17" s="32">
        <f t="shared" si="0"/>
        <v>33</v>
      </c>
      <c r="B17" s="205" t="s">
        <v>276</v>
      </c>
      <c r="C17" s="196">
        <v>800242107</v>
      </c>
      <c r="D17" s="61">
        <v>42944</v>
      </c>
      <c r="E17" s="196" t="s">
        <v>91</v>
      </c>
      <c r="F17" s="195">
        <v>86817</v>
      </c>
      <c r="G17" s="62">
        <v>234717</v>
      </c>
      <c r="H17" s="113">
        <v>3557680.44</v>
      </c>
      <c r="I17" s="112">
        <v>693</v>
      </c>
      <c r="J17" s="109">
        <f>467928600.67-(467928600.67*0.2)</f>
        <v>374342880.53600001</v>
      </c>
      <c r="K17" s="54">
        <v>43006</v>
      </c>
      <c r="L17" s="193"/>
    </row>
    <row r="18" spans="1:12" ht="23.25" customHeight="1" x14ac:dyDescent="0.25">
      <c r="A18" s="63">
        <f t="shared" si="0"/>
        <v>34</v>
      </c>
      <c r="B18" s="198" t="s">
        <v>277</v>
      </c>
      <c r="C18" s="196">
        <v>890116722</v>
      </c>
      <c r="D18" s="61">
        <v>42944</v>
      </c>
      <c r="E18" s="200" t="s">
        <v>278</v>
      </c>
      <c r="F18" s="195">
        <v>69517</v>
      </c>
      <c r="G18" s="62">
        <v>234817</v>
      </c>
      <c r="H18" s="113">
        <v>3755538</v>
      </c>
      <c r="I18" s="112">
        <v>2828</v>
      </c>
      <c r="J18" s="109">
        <v>23521527.5</v>
      </c>
      <c r="K18" s="54">
        <v>43006</v>
      </c>
      <c r="L18" s="193"/>
    </row>
    <row r="19" spans="1:12" ht="23.25" customHeight="1" x14ac:dyDescent="0.25">
      <c r="A19" s="63">
        <f t="shared" si="0"/>
        <v>35</v>
      </c>
      <c r="B19" s="205" t="s">
        <v>279</v>
      </c>
      <c r="C19" s="196">
        <v>901071893</v>
      </c>
      <c r="D19" s="53">
        <v>42948</v>
      </c>
      <c r="E19" s="196" t="s">
        <v>280</v>
      </c>
      <c r="F19" s="195">
        <v>97517</v>
      </c>
      <c r="G19" s="196">
        <v>237117</v>
      </c>
      <c r="H19" s="111">
        <v>3839953.69</v>
      </c>
      <c r="I19" s="192" t="s">
        <v>281</v>
      </c>
      <c r="J19" s="96">
        <f>509097018.26-(509097018.26*0.5)</f>
        <v>254548509.13</v>
      </c>
      <c r="K19" s="54">
        <v>43006</v>
      </c>
      <c r="L19" s="54">
        <v>43006</v>
      </c>
    </row>
    <row r="20" spans="1:12" ht="23.25" customHeight="1" x14ac:dyDescent="0.25">
      <c r="A20" s="63">
        <f t="shared" si="0"/>
        <v>36</v>
      </c>
      <c r="B20" s="206" t="s">
        <v>165</v>
      </c>
      <c r="C20" s="196">
        <v>900127140</v>
      </c>
      <c r="D20" s="61">
        <v>42956</v>
      </c>
      <c r="E20" s="196" t="s">
        <v>166</v>
      </c>
      <c r="F20" s="196">
        <v>120417</v>
      </c>
      <c r="G20" s="69">
        <v>242117</v>
      </c>
      <c r="H20" s="96">
        <v>0</v>
      </c>
      <c r="I20" s="207">
        <v>13021</v>
      </c>
      <c r="J20" s="208">
        <v>998730000</v>
      </c>
      <c r="K20" s="54">
        <v>43006</v>
      </c>
      <c r="L20" s="54">
        <v>43006</v>
      </c>
    </row>
    <row r="21" spans="1:12" ht="23.25" customHeight="1" x14ac:dyDescent="0.25">
      <c r="A21" s="63">
        <f t="shared" si="0"/>
        <v>37</v>
      </c>
      <c r="B21" s="198" t="s">
        <v>282</v>
      </c>
      <c r="C21" s="196">
        <v>900900730</v>
      </c>
      <c r="D21" s="61">
        <v>42956</v>
      </c>
      <c r="E21" s="196" t="s">
        <v>283</v>
      </c>
      <c r="F21" s="196">
        <v>3117</v>
      </c>
      <c r="G21" s="69">
        <v>245017</v>
      </c>
      <c r="H21" s="96">
        <v>0</v>
      </c>
      <c r="I21" s="118">
        <v>31</v>
      </c>
      <c r="J21" s="209">
        <f>1787903837.96-(1787903837.96*0.5)</f>
        <v>893951918.98000002</v>
      </c>
      <c r="K21" s="54">
        <v>43006</v>
      </c>
      <c r="L21" s="54">
        <v>43006</v>
      </c>
    </row>
    <row r="22" spans="1:12" ht="23.25" customHeight="1" x14ac:dyDescent="0.25">
      <c r="A22" s="63">
        <f t="shared" si="0"/>
        <v>38</v>
      </c>
      <c r="B22" s="205" t="s">
        <v>284</v>
      </c>
      <c r="C22" s="199">
        <v>830040391</v>
      </c>
      <c r="D22" s="61">
        <v>42961</v>
      </c>
      <c r="E22" s="196" t="s">
        <v>285</v>
      </c>
      <c r="F22" s="195">
        <v>117017</v>
      </c>
      <c r="G22" s="69">
        <v>246917</v>
      </c>
      <c r="H22" s="113">
        <v>0</v>
      </c>
      <c r="I22" s="112">
        <v>122</v>
      </c>
      <c r="J22" s="109">
        <v>160637910</v>
      </c>
      <c r="K22" s="54">
        <v>43006</v>
      </c>
      <c r="L22" s="54">
        <v>43006</v>
      </c>
    </row>
  </sheetData>
  <mergeCells count="6">
    <mergeCell ref="A8:H8"/>
    <mergeCell ref="A1:K1"/>
    <mergeCell ref="A2:K2"/>
    <mergeCell ref="A3:K3"/>
    <mergeCell ref="A5:K5"/>
    <mergeCell ref="A7:K7"/>
  </mergeCells>
  <conditionalFormatting sqref="J12">
    <cfRule type="iconSet" priority="1">
      <iconSet>
        <cfvo type="percent" val="0"/>
        <cfvo type="num" val="&quot;42954671.99&quot;"/>
        <cfvo type="num" val="50180738"/>
      </iconSet>
    </cfRule>
  </conditionalFormatting>
  <conditionalFormatting sqref="J22 J16:J18">
    <cfRule type="iconSet" priority="2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2"/>
  <sheetViews>
    <sheetView zoomScale="70" zoomScaleNormal="70" workbookViewId="0">
      <pane ySplit="10" topLeftCell="A23" activePane="bottomLeft" state="frozen"/>
      <selection activeCell="A196" sqref="A196"/>
      <selection pane="bottomLeft" activeCell="A32" sqref="A32"/>
    </sheetView>
  </sheetViews>
  <sheetFormatPr baseColWidth="10" defaultRowHeight="23.25" customHeight="1" x14ac:dyDescent="0.25"/>
  <cols>
    <col min="1" max="1" width="9.5703125" style="26" customWidth="1"/>
    <col min="2" max="2" width="26.140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9.7109375" style="24" customWidth="1"/>
    <col min="10" max="10" width="27.140625" style="18" customWidth="1"/>
    <col min="11" max="11" width="28.7109375" customWidth="1"/>
    <col min="12" max="12" width="28.140625" hidden="1" customWidth="1"/>
    <col min="13" max="13" width="29.140625" style="11" hidden="1" customWidth="1"/>
    <col min="14" max="14" width="34.140625" style="11" customWidth="1"/>
    <col min="15" max="15" width="43.28515625" style="11" customWidth="1"/>
    <col min="16" max="16" width="32" style="11" customWidth="1"/>
    <col min="17" max="17" width="40.5703125" style="11" customWidth="1"/>
    <col min="18" max="18" width="34.42578125" style="11" customWidth="1"/>
    <col min="19" max="19" width="34" style="11" customWidth="1"/>
    <col min="20" max="20" width="44.28515625" style="11" customWidth="1"/>
    <col min="21" max="21" width="33.5703125" style="11" customWidth="1"/>
    <col min="22" max="110" width="11.42578125" style="11"/>
  </cols>
  <sheetData>
    <row r="1" spans="1:110" ht="23.25" customHeight="1" x14ac:dyDescent="0.25">
      <c r="A1" s="136" t="s">
        <v>11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9" t="s">
        <v>14</v>
      </c>
    </row>
    <row r="2" spans="1:110" ht="23.25" customHeight="1" x14ac:dyDescent="0.25">
      <c r="A2" s="136" t="s">
        <v>12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27"/>
    </row>
    <row r="3" spans="1:110" ht="23.25" customHeight="1" x14ac:dyDescent="0.25">
      <c r="A3" s="136" t="s">
        <v>13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27"/>
    </row>
    <row r="4" spans="1:110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10" ht="23.25" customHeight="1" x14ac:dyDescent="0.25">
      <c r="A5" s="136" t="s">
        <v>138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27"/>
    </row>
    <row r="6" spans="1:110" ht="23.25" customHeight="1" x14ac:dyDescent="0.25">
      <c r="A6" s="11"/>
      <c r="H6"/>
      <c r="I6"/>
      <c r="J6"/>
      <c r="L6" t="s">
        <v>15</v>
      </c>
    </row>
    <row r="7" spans="1:110" ht="23.25" customHeight="1" x14ac:dyDescent="0.25">
      <c r="A7" s="137" t="s">
        <v>24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t="s">
        <v>16</v>
      </c>
    </row>
    <row r="8" spans="1:110" ht="23.25" customHeight="1" x14ac:dyDescent="0.25">
      <c r="A8" s="136" t="s">
        <v>17</v>
      </c>
      <c r="B8" s="136"/>
      <c r="C8" s="136"/>
      <c r="D8" s="136"/>
      <c r="E8" s="136"/>
      <c r="F8" s="136"/>
      <c r="G8" s="136"/>
      <c r="H8" s="136"/>
      <c r="I8" s="28"/>
      <c r="J8" s="29"/>
      <c r="K8" s="33" t="s">
        <v>32</v>
      </c>
      <c r="L8" t="s">
        <v>18</v>
      </c>
    </row>
    <row r="9" spans="1:110" ht="23.25" customHeight="1" x14ac:dyDescent="0.25">
      <c r="G9" s="21" t="s">
        <v>19</v>
      </c>
      <c r="H9" s="20">
        <f>10399521*0.16</f>
        <v>1663923.36</v>
      </c>
      <c r="I9" s="29"/>
      <c r="J9" s="30" t="s">
        <v>22</v>
      </c>
      <c r="K9" s="31" t="s">
        <v>31</v>
      </c>
      <c r="L9" t="s">
        <v>20</v>
      </c>
    </row>
    <row r="10" spans="1:110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</row>
    <row r="11" spans="1:110" ht="23.25" customHeight="1" x14ac:dyDescent="0.25">
      <c r="A11" s="38">
        <v>123</v>
      </c>
      <c r="B11" s="67" t="s">
        <v>287</v>
      </c>
      <c r="C11" s="63">
        <v>901022873</v>
      </c>
      <c r="D11" s="61">
        <v>42921</v>
      </c>
      <c r="E11" s="200" t="s">
        <v>288</v>
      </c>
      <c r="F11" s="63">
        <v>344716</v>
      </c>
      <c r="G11" s="62">
        <v>206817</v>
      </c>
      <c r="H11" s="113">
        <f>20624926.88+266664.96</f>
        <v>20891591.84</v>
      </c>
      <c r="I11" s="73" t="s">
        <v>289</v>
      </c>
      <c r="J11" s="113">
        <f>517356681.48+1933320.96-(519290002.44*0.5)</f>
        <v>259645001.22</v>
      </c>
      <c r="K11" s="114">
        <v>42970</v>
      </c>
      <c r="L11" s="114">
        <v>42970</v>
      </c>
      <c r="M11" s="23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7" customHeight="1" x14ac:dyDescent="0.25">
      <c r="A12" s="38">
        <f>A11+1</f>
        <v>124</v>
      </c>
      <c r="B12" s="67" t="s">
        <v>290</v>
      </c>
      <c r="C12" s="63">
        <v>9010172531</v>
      </c>
      <c r="D12" s="61">
        <v>42921</v>
      </c>
      <c r="E12" s="200" t="s">
        <v>291</v>
      </c>
      <c r="F12" s="63">
        <v>313716</v>
      </c>
      <c r="G12" s="62">
        <v>206917</v>
      </c>
      <c r="H12" s="113">
        <v>2519659.9900000002</v>
      </c>
      <c r="I12" s="73" t="s">
        <v>292</v>
      </c>
      <c r="J12" s="113">
        <v>18267534.91</v>
      </c>
      <c r="K12" s="114">
        <v>42970</v>
      </c>
      <c r="L12" s="114">
        <v>42970</v>
      </c>
      <c r="M12" s="10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38">
        <f t="shared" ref="A13:A17" si="0">A12+1</f>
        <v>125</v>
      </c>
      <c r="B13" s="59" t="s">
        <v>293</v>
      </c>
      <c r="C13" s="55">
        <v>900979861</v>
      </c>
      <c r="D13" s="57">
        <v>42923</v>
      </c>
      <c r="E13" s="55" t="s">
        <v>294</v>
      </c>
      <c r="F13" s="123">
        <v>257716</v>
      </c>
      <c r="G13" s="76">
        <v>208517</v>
      </c>
      <c r="H13" s="10">
        <v>22622068.960000001</v>
      </c>
      <c r="I13" s="58">
        <v>3</v>
      </c>
      <c r="J13" s="10">
        <v>164010000</v>
      </c>
      <c r="K13" s="75">
        <v>42970</v>
      </c>
      <c r="L13" s="75">
        <v>42970</v>
      </c>
      <c r="M13" s="23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30.75" customHeight="1" x14ac:dyDescent="0.25">
      <c r="A14" s="38">
        <f t="shared" si="0"/>
        <v>126</v>
      </c>
      <c r="B14" s="59" t="s">
        <v>295</v>
      </c>
      <c r="C14" s="55">
        <v>860401674</v>
      </c>
      <c r="D14" s="57">
        <v>42926</v>
      </c>
      <c r="E14" s="55" t="s">
        <v>296</v>
      </c>
      <c r="F14" s="123">
        <v>233716</v>
      </c>
      <c r="G14" s="76">
        <v>209917</v>
      </c>
      <c r="H14" s="10">
        <v>0</v>
      </c>
      <c r="I14" s="58">
        <v>38711</v>
      </c>
      <c r="J14" s="10">
        <v>1719792</v>
      </c>
      <c r="K14" s="119">
        <v>42970</v>
      </c>
      <c r="L14" s="119">
        <v>42970</v>
      </c>
      <c r="M14" s="23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38">
        <f t="shared" si="0"/>
        <v>127</v>
      </c>
      <c r="B15" s="63" t="s">
        <v>124</v>
      </c>
      <c r="C15" s="63">
        <v>901031483</v>
      </c>
      <c r="D15" s="61">
        <v>42930</v>
      </c>
      <c r="E15" s="63" t="s">
        <v>125</v>
      </c>
      <c r="F15" s="63">
        <v>402716</v>
      </c>
      <c r="G15" s="62">
        <v>215617</v>
      </c>
      <c r="H15" s="109">
        <v>2719304.28</v>
      </c>
      <c r="I15" s="68" t="s">
        <v>297</v>
      </c>
      <c r="J15" s="109">
        <f>441207119.4-(1470690398*0.15)</f>
        <v>220603559.69999999</v>
      </c>
      <c r="K15" s="114">
        <v>42970</v>
      </c>
      <c r="L15" s="114">
        <v>42970</v>
      </c>
      <c r="M15" s="23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38">
        <f t="shared" si="0"/>
        <v>128</v>
      </c>
      <c r="B16" s="63" t="s">
        <v>128</v>
      </c>
      <c r="C16" s="63">
        <v>900853320</v>
      </c>
      <c r="D16" s="61">
        <v>42930</v>
      </c>
      <c r="E16" s="63" t="s">
        <v>129</v>
      </c>
      <c r="F16" s="63">
        <v>402616</v>
      </c>
      <c r="G16" s="69">
        <v>215717</v>
      </c>
      <c r="H16" s="96">
        <v>2728980.31</v>
      </c>
      <c r="I16" s="115">
        <v>205</v>
      </c>
      <c r="J16" s="96">
        <v>19785107.25</v>
      </c>
      <c r="K16" s="114">
        <v>42970</v>
      </c>
      <c r="L16" s="114">
        <v>42970</v>
      </c>
      <c r="M16" s="23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2" ht="42" customHeight="1" x14ac:dyDescent="0.25">
      <c r="A17" s="38">
        <f t="shared" si="0"/>
        <v>129</v>
      </c>
      <c r="B17" s="56" t="s">
        <v>298</v>
      </c>
      <c r="C17" s="56">
        <v>900054952</v>
      </c>
      <c r="D17" s="57">
        <v>42940</v>
      </c>
      <c r="E17" s="56" t="s">
        <v>299</v>
      </c>
      <c r="F17" s="56">
        <v>234416</v>
      </c>
      <c r="G17" s="76">
        <v>232117</v>
      </c>
      <c r="H17" s="82">
        <v>17306887</v>
      </c>
      <c r="I17" s="58" t="s">
        <v>300</v>
      </c>
      <c r="J17" s="10">
        <v>125474934</v>
      </c>
      <c r="K17" s="119">
        <v>42970</v>
      </c>
      <c r="L17" s="119">
        <v>42970</v>
      </c>
    </row>
    <row r="18" spans="1:12" ht="40.5" customHeight="1" x14ac:dyDescent="0.25">
      <c r="A18" s="134">
        <v>130</v>
      </c>
      <c r="B18" s="210" t="s">
        <v>126</v>
      </c>
      <c r="C18" s="143">
        <v>830036940</v>
      </c>
      <c r="D18" s="144">
        <v>42942</v>
      </c>
      <c r="E18" s="210" t="s">
        <v>127</v>
      </c>
      <c r="F18" s="143">
        <v>274116</v>
      </c>
      <c r="G18" s="120">
        <v>233217</v>
      </c>
      <c r="H18" s="79">
        <f>88548844.78+4718445.57+2757119.9+48183581.85</f>
        <v>144207992.09999999</v>
      </c>
      <c r="I18" s="211" t="s">
        <v>301</v>
      </c>
      <c r="J18" s="79">
        <v>179383490.06999999</v>
      </c>
      <c r="K18" s="119">
        <v>42970</v>
      </c>
      <c r="L18" s="119">
        <v>42970</v>
      </c>
    </row>
    <row r="19" spans="1:12" ht="48" customHeight="1" x14ac:dyDescent="0.25">
      <c r="A19" s="142"/>
      <c r="B19" s="210"/>
      <c r="C19" s="143"/>
      <c r="D19" s="144"/>
      <c r="E19" s="210"/>
      <c r="F19" s="143"/>
      <c r="G19" s="120">
        <v>233317</v>
      </c>
      <c r="H19" s="74"/>
      <c r="I19" s="211"/>
      <c r="J19" s="95">
        <v>62549971.380000003</v>
      </c>
      <c r="K19" s="116">
        <v>42970</v>
      </c>
      <c r="L19" s="116">
        <v>42970</v>
      </c>
    </row>
    <row r="20" spans="1:12" ht="53.25" customHeight="1" x14ac:dyDescent="0.25">
      <c r="A20" s="142"/>
      <c r="B20" s="210" t="s">
        <v>302</v>
      </c>
      <c r="C20" s="143"/>
      <c r="D20" s="144"/>
      <c r="E20" s="210"/>
      <c r="F20" s="143">
        <v>322116</v>
      </c>
      <c r="G20" s="66">
        <v>233417</v>
      </c>
      <c r="H20" s="79"/>
      <c r="I20" s="211"/>
      <c r="J20" s="79">
        <v>400499286.55000001</v>
      </c>
      <c r="K20" s="119">
        <v>42970</v>
      </c>
      <c r="L20" s="119">
        <v>42970</v>
      </c>
    </row>
    <row r="21" spans="1:12" ht="42" customHeight="1" x14ac:dyDescent="0.25">
      <c r="A21" s="135"/>
      <c r="B21" s="210"/>
      <c r="C21" s="143"/>
      <c r="D21" s="144"/>
      <c r="E21" s="210"/>
      <c r="F21" s="143"/>
      <c r="G21" s="66">
        <v>233517</v>
      </c>
      <c r="H21" s="95"/>
      <c r="I21" s="211"/>
      <c r="J21" s="95">
        <v>403075194.75999999</v>
      </c>
      <c r="K21" s="116">
        <v>42970</v>
      </c>
      <c r="L21" s="116">
        <v>42970</v>
      </c>
    </row>
    <row r="22" spans="1:12" ht="23.25" customHeight="1" x14ac:dyDescent="0.25">
      <c r="A22" s="38">
        <f>A18+1</f>
        <v>131</v>
      </c>
      <c r="B22" s="198" t="s">
        <v>303</v>
      </c>
      <c r="C22" s="198">
        <v>900897675</v>
      </c>
      <c r="D22" s="61">
        <v>42956</v>
      </c>
      <c r="E22" s="60" t="s">
        <v>304</v>
      </c>
      <c r="F22" s="60">
        <v>7616</v>
      </c>
      <c r="G22" s="60">
        <v>245117</v>
      </c>
      <c r="H22" s="212"/>
      <c r="I22" s="213">
        <v>13</v>
      </c>
      <c r="J22" s="109">
        <v>114300591.93000001</v>
      </c>
      <c r="K22" s="214">
        <v>43004</v>
      </c>
      <c r="L22" s="214">
        <v>43004</v>
      </c>
    </row>
    <row r="23" spans="1:12" ht="23.25" customHeight="1" x14ac:dyDescent="0.25">
      <c r="A23" s="38">
        <f>A22+1</f>
        <v>132</v>
      </c>
      <c r="B23" s="43" t="s">
        <v>305</v>
      </c>
      <c r="C23" s="43">
        <v>804002893</v>
      </c>
      <c r="D23" s="57">
        <v>42962</v>
      </c>
      <c r="E23" s="55" t="s">
        <v>109</v>
      </c>
      <c r="F23" s="55">
        <v>241416</v>
      </c>
      <c r="G23" s="55">
        <v>248217</v>
      </c>
      <c r="H23" s="215">
        <v>1811548</v>
      </c>
      <c r="I23" s="121" t="s">
        <v>306</v>
      </c>
      <c r="J23" s="10">
        <v>13133728</v>
      </c>
      <c r="K23" s="119">
        <v>43004</v>
      </c>
      <c r="L23" s="119">
        <v>43004</v>
      </c>
    </row>
    <row r="24" spans="1:12" ht="23.25" customHeight="1" x14ac:dyDescent="0.25">
      <c r="A24" s="38">
        <f t="shared" ref="A24:A28" si="1">A23+1</f>
        <v>133</v>
      </c>
      <c r="B24" s="67" t="s">
        <v>133</v>
      </c>
      <c r="C24" s="117" t="s">
        <v>134</v>
      </c>
      <c r="D24" s="61">
        <v>42969</v>
      </c>
      <c r="E24" s="63" t="s">
        <v>135</v>
      </c>
      <c r="F24" s="63">
        <v>302816</v>
      </c>
      <c r="G24" s="62">
        <v>257917</v>
      </c>
      <c r="H24" s="113">
        <v>6854322</v>
      </c>
      <c r="I24" s="52">
        <v>3</v>
      </c>
      <c r="J24" s="113">
        <f>1094977938.32-(1094977938.32*0.5)</f>
        <v>547488969.15999997</v>
      </c>
      <c r="K24" s="114">
        <v>43004</v>
      </c>
      <c r="L24" s="114">
        <v>43004</v>
      </c>
    </row>
    <row r="25" spans="1:12" ht="23.25" customHeight="1" x14ac:dyDescent="0.25">
      <c r="A25" s="38">
        <f t="shared" si="1"/>
        <v>134</v>
      </c>
      <c r="B25" s="63" t="s">
        <v>136</v>
      </c>
      <c r="C25" s="60">
        <v>901017671</v>
      </c>
      <c r="D25" s="61">
        <v>42907</v>
      </c>
      <c r="E25" s="60" t="s">
        <v>137</v>
      </c>
      <c r="F25" s="60">
        <v>321516</v>
      </c>
      <c r="G25" s="62">
        <v>258017</v>
      </c>
      <c r="H25" s="113">
        <v>7072087.5</v>
      </c>
      <c r="I25" s="68" t="s">
        <v>123</v>
      </c>
      <c r="J25" s="96">
        <v>51272634.390000001</v>
      </c>
      <c r="K25" s="114">
        <v>43004</v>
      </c>
      <c r="L25" s="114">
        <v>43004</v>
      </c>
    </row>
    <row r="26" spans="1:12" ht="23.25" customHeight="1" x14ac:dyDescent="0.25">
      <c r="A26" s="38">
        <f t="shared" si="1"/>
        <v>135</v>
      </c>
      <c r="B26" s="67" t="s">
        <v>287</v>
      </c>
      <c r="C26" s="63">
        <v>901022873</v>
      </c>
      <c r="D26" s="61">
        <v>42971</v>
      </c>
      <c r="E26" s="200" t="s">
        <v>288</v>
      </c>
      <c r="F26" s="63">
        <v>344716</v>
      </c>
      <c r="G26" s="62">
        <v>265617</v>
      </c>
      <c r="H26" s="113">
        <v>2848395</v>
      </c>
      <c r="I26" s="73" t="s">
        <v>307</v>
      </c>
      <c r="J26" s="113">
        <f>561400852.14-(561400852.14*0.5)</f>
        <v>280700426.06999999</v>
      </c>
      <c r="K26" s="114">
        <v>43004</v>
      </c>
      <c r="L26" s="114">
        <v>43004</v>
      </c>
    </row>
    <row r="27" spans="1:12" ht="23.25" customHeight="1" x14ac:dyDescent="0.25">
      <c r="A27" s="38">
        <f t="shared" si="1"/>
        <v>136</v>
      </c>
      <c r="B27" s="67" t="s">
        <v>290</v>
      </c>
      <c r="C27" s="63">
        <v>9010172531</v>
      </c>
      <c r="D27" s="61">
        <v>42971</v>
      </c>
      <c r="E27" s="200" t="s">
        <v>291</v>
      </c>
      <c r="F27" s="63">
        <v>313716</v>
      </c>
      <c r="G27" s="62">
        <v>266017</v>
      </c>
      <c r="H27" s="113">
        <v>2723987.09</v>
      </c>
      <c r="I27" s="73" t="s">
        <v>268</v>
      </c>
      <c r="J27" s="113">
        <v>19748906.420000002</v>
      </c>
      <c r="K27" s="214">
        <v>43004</v>
      </c>
      <c r="L27" s="214">
        <v>43004</v>
      </c>
    </row>
    <row r="28" spans="1:12" ht="23.25" customHeight="1" x14ac:dyDescent="0.25">
      <c r="A28" s="38">
        <f t="shared" si="1"/>
        <v>137</v>
      </c>
      <c r="B28" s="63" t="s">
        <v>124</v>
      </c>
      <c r="C28" s="63">
        <v>901031483</v>
      </c>
      <c r="D28" s="61">
        <v>42971</v>
      </c>
      <c r="E28" s="63" t="s">
        <v>125</v>
      </c>
      <c r="F28" s="63">
        <v>402716</v>
      </c>
      <c r="G28" s="62">
        <v>266217</v>
      </c>
      <c r="H28" s="109">
        <v>2719304.28</v>
      </c>
      <c r="I28" s="68" t="s">
        <v>132</v>
      </c>
      <c r="J28" s="109">
        <f>441207119.4-(1470690398*0.15)</f>
        <v>220603559.69999999</v>
      </c>
      <c r="K28" s="114">
        <v>43004</v>
      </c>
      <c r="L28" s="114">
        <v>43004</v>
      </c>
    </row>
    <row r="29" spans="1:12" ht="23.25" customHeight="1" x14ac:dyDescent="0.25">
      <c r="A29" s="38">
        <f t="shared" ref="A29:A31" si="2">A28+1</f>
        <v>138</v>
      </c>
      <c r="B29" s="63" t="s">
        <v>128</v>
      </c>
      <c r="C29" s="63">
        <v>900853320</v>
      </c>
      <c r="D29" s="61">
        <v>42971</v>
      </c>
      <c r="E29" s="63" t="s">
        <v>129</v>
      </c>
      <c r="F29" s="63">
        <v>402616</v>
      </c>
      <c r="G29" s="69">
        <v>266417</v>
      </c>
      <c r="H29" s="96">
        <v>2728980.31</v>
      </c>
      <c r="I29" s="115">
        <v>206</v>
      </c>
      <c r="J29" s="96">
        <v>19785107.25</v>
      </c>
      <c r="K29" s="216">
        <v>43004</v>
      </c>
      <c r="L29" s="216">
        <v>43004</v>
      </c>
    </row>
    <row r="30" spans="1:12" ht="23.25" customHeight="1" x14ac:dyDescent="0.25">
      <c r="A30" s="38">
        <f t="shared" si="2"/>
        <v>139</v>
      </c>
      <c r="B30" s="67" t="s">
        <v>287</v>
      </c>
      <c r="C30" s="63">
        <v>901022873</v>
      </c>
      <c r="D30" s="61">
        <v>42977</v>
      </c>
      <c r="E30" s="200" t="s">
        <v>288</v>
      </c>
      <c r="F30" s="63">
        <v>344716</v>
      </c>
      <c r="G30" s="69">
        <v>274017</v>
      </c>
      <c r="H30" s="113">
        <v>22068614.879999999</v>
      </c>
      <c r="I30" s="73" t="s">
        <v>308</v>
      </c>
      <c r="J30" s="113">
        <f>470112952.57+159997457.88-315055205.22</f>
        <v>315055205.23000002</v>
      </c>
      <c r="K30" s="216">
        <v>43004</v>
      </c>
      <c r="L30" s="216">
        <v>43004</v>
      </c>
    </row>
    <row r="31" spans="1:12" ht="23.25" customHeight="1" x14ac:dyDescent="0.25">
      <c r="A31" s="38">
        <f t="shared" si="2"/>
        <v>140</v>
      </c>
      <c r="B31" s="67" t="s">
        <v>290</v>
      </c>
      <c r="C31" s="63">
        <v>9010172531</v>
      </c>
      <c r="D31" s="61">
        <v>42977</v>
      </c>
      <c r="E31" s="200" t="s">
        <v>291</v>
      </c>
      <c r="F31" s="63">
        <v>313716</v>
      </c>
      <c r="G31" s="69">
        <v>274117</v>
      </c>
      <c r="H31" s="113">
        <v>3057374.46</v>
      </c>
      <c r="I31" s="73" t="s">
        <v>309</v>
      </c>
      <c r="J31" s="113">
        <v>22165964.809999999</v>
      </c>
      <c r="K31" s="114">
        <v>43004</v>
      </c>
      <c r="L31" s="114">
        <v>43004</v>
      </c>
    </row>
    <row r="32" spans="1:12" ht="23.25" customHeight="1" x14ac:dyDescent="0.25">
      <c r="A32" s="124">
        <f>A31+1</f>
        <v>141</v>
      </c>
      <c r="B32" s="63" t="s">
        <v>130</v>
      </c>
      <c r="C32" s="63">
        <v>901031126</v>
      </c>
      <c r="D32" s="61">
        <v>42978</v>
      </c>
      <c r="E32" s="63" t="s">
        <v>131</v>
      </c>
      <c r="F32" s="63">
        <v>402216</v>
      </c>
      <c r="G32" s="69">
        <v>275217</v>
      </c>
      <c r="H32" s="96">
        <v>6479873.4699999997</v>
      </c>
      <c r="I32" s="115" t="s">
        <v>292</v>
      </c>
      <c r="J32" s="96">
        <v>46979082.670000002</v>
      </c>
      <c r="K32" s="114">
        <v>43004</v>
      </c>
      <c r="L32" s="114">
        <v>43004</v>
      </c>
    </row>
  </sheetData>
  <mergeCells count="15">
    <mergeCell ref="B18:B19"/>
    <mergeCell ref="C18:C21"/>
    <mergeCell ref="D18:D21"/>
    <mergeCell ref="E18:E21"/>
    <mergeCell ref="F18:F19"/>
    <mergeCell ref="I18:I21"/>
    <mergeCell ref="B20:B21"/>
    <mergeCell ref="F20:F21"/>
    <mergeCell ref="A1:K1"/>
    <mergeCell ref="A2:K2"/>
    <mergeCell ref="A3:K3"/>
    <mergeCell ref="A5:K5"/>
    <mergeCell ref="A7:K7"/>
    <mergeCell ref="A8:H8"/>
    <mergeCell ref="A18:A21"/>
  </mergeCells>
  <conditionalFormatting sqref="J13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14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22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23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 GENER CSF</vt:lpstr>
      <vt:lpstr>GASTOS GENER SSF</vt:lpstr>
      <vt:lpstr>GASTOS PERSONAL</vt:lpstr>
      <vt:lpstr>INVERSION</vt:lpstr>
      <vt:lpstr>RESERVA PSTAL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2017-10-12T21:23:43Z</dcterms:modified>
</cp:coreProperties>
</file>