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/>
  <mc:AlternateContent xmlns:mc="http://schemas.openxmlformats.org/markup-compatibility/2006">
    <mc:Choice Requires="x15">
      <x15ac:absPath xmlns:x15ac="http://schemas.microsoft.com/office/spreadsheetml/2010/11/ac" url="Z:\respaldo\CUENTAS\CUENTAS 2018\2018 CUENTAS NORMA\PUBLICACION TURNOS 2018\"/>
    </mc:Choice>
  </mc:AlternateContent>
  <bookViews>
    <workbookView xWindow="0" yWindow="0" windowWidth="24000" windowHeight="8835"/>
  </bookViews>
  <sheets>
    <sheet name="GASTOS GENER CSF vig 2018" sheetId="2" r:id="rId1"/>
    <sheet name="GASTOS GENER CSF " sheetId="8" r:id="rId2"/>
    <sheet name="GASTOS GENER SSF" sheetId="7" r:id="rId3"/>
    <sheet name="INVERSION" sheetId="6" r:id="rId4"/>
  </sheets>
  <definedNames>
    <definedName name="_xlnm._FilterDatabase" localSheetId="1" hidden="1">'GASTOS GENER CSF '!$A$10:$DE$30</definedName>
    <definedName name="_xlnm._FilterDatabase" localSheetId="0" hidden="1">'GASTOS GENER CSF vig 2018'!$A$10:$DE$15</definedName>
    <definedName name="_xlnm._FilterDatabase" localSheetId="2" hidden="1">'GASTOS GENER SSF'!$A$10:$DE$30</definedName>
    <definedName name="_xlnm._FilterDatabase" localSheetId="3" hidden="1">INVERSION!$A$10:$DF$12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J120" i="8" l="1"/>
  <c r="J119" i="8"/>
  <c r="H113" i="8"/>
  <c r="J98" i="8"/>
  <c r="J97" i="8"/>
  <c r="H97" i="8"/>
  <c r="J95" i="8"/>
  <c r="J93" i="8"/>
  <c r="J89" i="8"/>
  <c r="J83" i="8"/>
  <c r="H83" i="8"/>
  <c r="J79" i="8"/>
  <c r="H74" i="8"/>
  <c r="J65" i="8"/>
  <c r="J49" i="8"/>
  <c r="J47" i="8"/>
  <c r="J46" i="8"/>
  <c r="H46" i="8"/>
  <c r="J44" i="8"/>
  <c r="J38" i="8"/>
  <c r="J36" i="8"/>
  <c r="J35" i="8"/>
  <c r="J28" i="8"/>
  <c r="H28" i="8"/>
  <c r="J27" i="8"/>
  <c r="H27" i="8"/>
  <c r="J26" i="8"/>
  <c r="J24" i="8"/>
  <c r="H24" i="8"/>
  <c r="H23" i="8"/>
  <c r="J22" i="8"/>
  <c r="J21" i="8"/>
  <c r="H21" i="8"/>
  <c r="J20" i="8"/>
  <c r="H20" i="8"/>
  <c r="A14" i="8"/>
  <c r="A15" i="8" s="1"/>
  <c r="A16" i="8" s="1"/>
  <c r="A17" i="8" s="1"/>
  <c r="A18" i="8" s="1"/>
  <c r="A19" i="8" s="1"/>
  <c r="A20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7" i="8" s="1"/>
  <c r="A38" i="8" s="1"/>
  <c r="A39" i="8" s="1"/>
  <c r="A40" i="8" s="1"/>
  <c r="A41" i="8" s="1"/>
  <c r="A42" i="8" s="1"/>
  <c r="A44" i="8" s="1"/>
  <c r="A45" i="8" s="1"/>
  <c r="A46" i="8" s="1"/>
  <c r="A47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9" i="8" s="1"/>
  <c r="A100" i="8" s="1"/>
  <c r="A101" i="8" s="1"/>
  <c r="A102" i="8" s="1"/>
  <c r="A104" i="8" s="1"/>
  <c r="A105" i="8" s="1"/>
  <c r="A106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H13" i="8"/>
  <c r="A13" i="8"/>
  <c r="J11" i="8"/>
  <c r="H9" i="8"/>
  <c r="J73" i="6"/>
  <c r="J71" i="6"/>
  <c r="J69" i="6"/>
  <c r="J64" i="6"/>
  <c r="J63" i="6"/>
  <c r="J58" i="6"/>
  <c r="J56" i="6"/>
  <c r="J51" i="6"/>
  <c r="J50" i="6"/>
  <c r="J46" i="6"/>
  <c r="J41" i="6"/>
  <c r="J38" i="6"/>
  <c r="J33" i="6"/>
  <c r="J30" i="6"/>
  <c r="J24" i="6"/>
  <c r="H24" i="6"/>
  <c r="J23" i="6"/>
  <c r="J21" i="6"/>
  <c r="J19" i="6"/>
  <c r="J17" i="6"/>
  <c r="J16" i="6"/>
  <c r="J15" i="6"/>
  <c r="J14" i="6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6" i="6" s="1"/>
  <c r="A27" i="6" s="1"/>
  <c r="A28" i="6" s="1"/>
  <c r="A30" i="6" s="1"/>
  <c r="A31" i="6" s="1"/>
  <c r="A33" i="6" s="1"/>
  <c r="A34" i="6" s="1"/>
  <c r="A35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2" i="6" s="1"/>
  <c r="A54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J44" i="7"/>
  <c r="J40" i="7"/>
  <c r="J37" i="7"/>
  <c r="J33" i="7"/>
  <c r="J31" i="7"/>
  <c r="J30" i="7"/>
  <c r="J29" i="7"/>
  <c r="J27" i="7"/>
  <c r="H27" i="7"/>
  <c r="J25" i="7"/>
  <c r="J18" i="7"/>
  <c r="J17" i="7"/>
  <c r="H15" i="7"/>
  <c r="H12" i="7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H9" i="7" l="1"/>
  <c r="M12" i="6" l="1"/>
  <c r="H9" i="6"/>
  <c r="H9" i="2" l="1"/>
</calcChain>
</file>

<file path=xl/sharedStrings.xml><?xml version="1.0" encoding="utf-8"?>
<sst xmlns="http://schemas.openxmlformats.org/spreadsheetml/2006/main" count="659" uniqueCount="416">
  <si>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</si>
  <si>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</si>
  <si>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</si>
  <si>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</si>
  <si>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</si>
  <si>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</si>
  <si>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</si>
  <si>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</si>
  <si>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</si>
  <si>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</si>
  <si>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</si>
  <si>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POLICIA NACIONAL DE COLOMBIA</t>
  </si>
  <si>
    <t>DIRECCION ADMINISTRATIVA Y FINANCIERA</t>
  </si>
  <si>
    <t>AREA CONTRATOS - GRUPO SEGUIMIENTO</t>
  </si>
  <si>
    <t>FALTA DOCUMENTACION REQUERIDA PARA CREAR USUARIO DE LA CONYUGE</t>
  </si>
  <si>
    <t>E. SITUACION FCIERA</t>
  </si>
  <si>
    <t>E. RESULTADOS INTEGRAL</t>
  </si>
  <si>
    <t xml:space="preserve"> </t>
  </si>
  <si>
    <t>E. DE CAMBIOS EN EL PATRMONIO</t>
  </si>
  <si>
    <t>sisco</t>
  </si>
  <si>
    <t>E. DE FLUJOS DE EFECTIVO</t>
  </si>
  <si>
    <t>No. TURNO.</t>
  </si>
  <si>
    <t>GASTOS GENERALES VIGENCIA 2017</t>
  </si>
  <si>
    <t>ANULADA</t>
  </si>
  <si>
    <t>INVERSION VIGENCIA 2017</t>
  </si>
  <si>
    <t>FERNANDO RAMIREZ</t>
  </si>
  <si>
    <t>901011226 A LUDWIG CC # 79865330 CTA #461-169414-22</t>
  </si>
  <si>
    <t xml:space="preserve">CONSORCIO SAN FRANCISCO </t>
  </si>
  <si>
    <t>CONSORCIO DOBLE R M&amp;R 78</t>
  </si>
  <si>
    <t>ORDEN DE COMPRA # 18561</t>
  </si>
  <si>
    <t>AGENCIA GOLDTOUR</t>
  </si>
  <si>
    <t>06-6-10030-17</t>
  </si>
  <si>
    <t>06-3-10013-17</t>
  </si>
  <si>
    <t>INGENIERIA DE PROYECTOS  S.A.S.</t>
  </si>
  <si>
    <t>06-6-10034-17</t>
  </si>
  <si>
    <t>CONSOR, INFRAESTRUCTURA  IBAGUE</t>
  </si>
  <si>
    <t>06-3-10139-16</t>
  </si>
  <si>
    <t>UT INTERVENTORIA PUMA</t>
  </si>
  <si>
    <t>06-3-10172-15</t>
  </si>
  <si>
    <t xml:space="preserve">CONSORCIO SAN ANDRES </t>
  </si>
  <si>
    <t>06-7-10024-17</t>
  </si>
  <si>
    <r>
      <t xml:space="preserve">UT CF-PL MTMTO DATA CENTER, </t>
    </r>
    <r>
      <rPr>
        <sz val="11"/>
        <color indexed="10"/>
        <rFont val="Arial"/>
        <family val="2"/>
      </rPr>
      <t>PAGAR A COMPUFACIL</t>
    </r>
  </si>
  <si>
    <t xml:space="preserve">INVERSIONES SARA DE COLOMBIA S.A.S. </t>
  </si>
  <si>
    <t>06-6-10017-17</t>
  </si>
  <si>
    <t>URBANISCOM LTDA</t>
  </si>
  <si>
    <t>06-3-10057-17</t>
  </si>
  <si>
    <t>CONSORCIO DIAZ CASTRILLON</t>
  </si>
  <si>
    <t>06-6-10054-17</t>
  </si>
  <si>
    <r>
      <t>901083477</t>
    </r>
    <r>
      <rPr>
        <sz val="11"/>
        <color rgb="FFFF0000"/>
        <rFont val="Calibri"/>
        <family val="2"/>
        <scheme val="minor"/>
      </rPr>
      <t xml:space="preserve"> A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NOMBRE DE M&amp;E CONSTRUC. NIT # </t>
    </r>
    <r>
      <rPr>
        <b/>
        <sz val="11"/>
        <color rgb="FFFF0000"/>
        <rFont val="Calibri"/>
        <family val="2"/>
        <scheme val="minor"/>
      </rPr>
      <t>900053750-8</t>
    </r>
  </si>
  <si>
    <t>CONSORCIO OTUN</t>
  </si>
  <si>
    <t>06-3-10049-17</t>
  </si>
  <si>
    <t>CARLOS ARTURO  VERGARA NEGRETE</t>
  </si>
  <si>
    <t>06-2-10148-16</t>
  </si>
  <si>
    <t>FONDO ROTATORIO PONAL</t>
  </si>
  <si>
    <t>06-8-10047-17</t>
  </si>
  <si>
    <t>HACIENDA FLORAL Y/O LUZ ADRIANA SANABRIA REYES</t>
  </si>
  <si>
    <t>LA PREVISORA</t>
  </si>
  <si>
    <t>06-7-10073-17</t>
  </si>
  <si>
    <t>COLOMBIA TELECOMUNICACIONES</t>
  </si>
  <si>
    <t>06-5-10113-17</t>
  </si>
  <si>
    <t>GRAN IMAGEN SAS</t>
  </si>
  <si>
    <t>06-6-10176-15</t>
  </si>
  <si>
    <t>CONSORCIO DOBLE AA</t>
  </si>
  <si>
    <t>06-3-10199-16</t>
  </si>
  <si>
    <t>CONSORC. CONSULTORES ANDINOS</t>
  </si>
  <si>
    <t>4</t>
  </si>
  <si>
    <t>INDUSTRIA  MILITAR</t>
  </si>
  <si>
    <t>9000049542 NC # 100064</t>
  </si>
  <si>
    <t xml:space="preserve">VARIAS </t>
  </si>
  <si>
    <t>UT REDIMAC -LLANTAS A NOMBRE DE MACROPARTES CC # 900,110,012-5</t>
  </si>
  <si>
    <t>06-7-10066-17</t>
  </si>
  <si>
    <t>IMÁGENES SIA SAS</t>
  </si>
  <si>
    <t>06-7-10117-17</t>
  </si>
  <si>
    <t>COLOMBIA TELECOMUNICAC</t>
  </si>
  <si>
    <t>55808-00000023457340 ND#01596</t>
  </si>
  <si>
    <t>06-5-10019-17</t>
  </si>
  <si>
    <t>IMPRENTA NAL DE C/BIA</t>
  </si>
  <si>
    <t>ORDEN DE COMPRA 16668</t>
  </si>
  <si>
    <t>SERVIASEO S.A.</t>
  </si>
  <si>
    <t>86910-86937</t>
  </si>
  <si>
    <t>06-2-10090-17</t>
  </si>
  <si>
    <t>MODERLINE SAS</t>
  </si>
  <si>
    <t>EDUARDO PEÑA E HIJOS</t>
  </si>
  <si>
    <t>06-1-10078-17</t>
  </si>
  <si>
    <t>INVERSIONES MARTINEZ CASTRO Y CIA SAS</t>
  </si>
  <si>
    <t>06-2-10093-17</t>
  </si>
  <si>
    <t>CONSORCIO ACC 2017</t>
  </si>
  <si>
    <t>ALKOSTO S.A.</t>
  </si>
  <si>
    <t>ORDEN DE COMPRA 22703</t>
  </si>
  <si>
    <t>ORACLE C/BIA LTDA</t>
  </si>
  <si>
    <t>06-7-10131-17</t>
  </si>
  <si>
    <t>SUZUKI</t>
  </si>
  <si>
    <t>74870 A 74954 ( 18 FRAS) NOVIEMBRE</t>
  </si>
  <si>
    <t>165365-165364</t>
  </si>
  <si>
    <t>06-6-10216-16</t>
  </si>
  <si>
    <t>CONSORCIO SANTA MARTA</t>
  </si>
  <si>
    <t>16-18</t>
  </si>
  <si>
    <t>ORDEN DE COMPRA 13730 ADC # 1</t>
  </si>
  <si>
    <t>6989 PÓLIZA SOAT</t>
  </si>
  <si>
    <t>74999 A 75372 ( 16 FRAS) DICIEMBRE</t>
  </si>
  <si>
    <t>06-2-10081-17</t>
  </si>
  <si>
    <t>CONSORCIO ESMAD 2017</t>
  </si>
  <si>
    <t>06-7-10137-17</t>
  </si>
  <si>
    <t>10133-10129</t>
  </si>
  <si>
    <t>CONSORCIO  HGA 149-2017</t>
  </si>
  <si>
    <t xml:space="preserve">1 A 40  ( 34 FRAS) NOV Y DIC </t>
  </si>
  <si>
    <t>06-2-10092-17</t>
  </si>
  <si>
    <t>SIG SAUER APODERADO ANCLA</t>
  </si>
  <si>
    <t>06-6-10196-16</t>
  </si>
  <si>
    <t>06-2-10089-17</t>
  </si>
  <si>
    <t>INDUSTRIAS IVOR SA</t>
  </si>
  <si>
    <t>06-6-10125-16 ADC # 2</t>
  </si>
  <si>
    <t>06-3-10149-16 ADC # 2</t>
  </si>
  <si>
    <t>06-2-10039-17</t>
  </si>
  <si>
    <t>EVERYTRADE INTERNATIONAL COMPANY " EUROAMERICAS SAS"</t>
  </si>
  <si>
    <t>AUTOMAYOR SA.</t>
  </si>
  <si>
    <t>06-7-10001-17</t>
  </si>
  <si>
    <t>TECNOFRIO AIRES S.A.S.</t>
  </si>
  <si>
    <t>06-5-10067-17</t>
  </si>
  <si>
    <t>SERV POSTALES NAL.</t>
  </si>
  <si>
    <t>06-7-10075-17</t>
  </si>
  <si>
    <t>ICONTEC</t>
  </si>
  <si>
    <t>06-5-10028-17</t>
  </si>
  <si>
    <t>INDUMIL</t>
  </si>
  <si>
    <t>FIRMA SAFARILLAND LLC "NICHOLS TACTICA"</t>
  </si>
  <si>
    <t>06-8-10129-17</t>
  </si>
  <si>
    <t>GAS NATURAL VEHICULAR S.A.</t>
  </si>
  <si>
    <t>ASIGNACION TURNOS - TRAMITE CUENTAS DE PROVEEDORES - PAGOS DICIEMBRE 2017 C XPAGAR</t>
  </si>
  <si>
    <t>ORDEN DE COMPRA 14117</t>
  </si>
  <si>
    <t>1724-1739-1786-1779-1771-1795</t>
  </si>
  <si>
    <t>ORDEN DE COMPRA 14117 ADC # 1</t>
  </si>
  <si>
    <t>160176-160177</t>
  </si>
  <si>
    <t>ORDEN DE COMPRA # 19559</t>
  </si>
  <si>
    <t>ORGANIZACIÓN TERPEL S.A.</t>
  </si>
  <si>
    <t>06-2-10112-17</t>
  </si>
  <si>
    <t>IDENTIFIC. PLASTICA  SAS</t>
  </si>
  <si>
    <t>06-7-10176-16 ADC # 1</t>
  </si>
  <si>
    <t>MICROSOFT</t>
  </si>
  <si>
    <t>O de compra 16668 adc # 1</t>
  </si>
  <si>
    <t>86911-86938</t>
  </si>
  <si>
    <t>06-8-10087-17</t>
  </si>
  <si>
    <t>CONSORCIO B&amp;B COLOMBIA</t>
  </si>
  <si>
    <t>5 nc 4</t>
  </si>
  <si>
    <t>06-5-10050-17</t>
  </si>
  <si>
    <t>15262-15261</t>
  </si>
  <si>
    <t>06-7-10108-17</t>
  </si>
  <si>
    <t>MONITOREO DE COLOMBIA S.A.S.</t>
  </si>
  <si>
    <t>356317-379117</t>
  </si>
  <si>
    <t>5966-5973-5980</t>
  </si>
  <si>
    <t>06-7-10125-17</t>
  </si>
  <si>
    <t>REDDIN CONSULTANTS SAS</t>
  </si>
  <si>
    <t>06-8-10189-15 ADC # 2</t>
  </si>
  <si>
    <t>SUMIMAS SAS</t>
  </si>
  <si>
    <r>
      <t>372017-</t>
    </r>
    <r>
      <rPr>
        <sz val="11"/>
        <rFont val="Calibri"/>
        <family val="2"/>
        <scheme val="minor"/>
      </rPr>
      <t>382117</t>
    </r>
  </si>
  <si>
    <r>
      <t xml:space="preserve">FCS 34049-34050-34052  NC, 658-661 , </t>
    </r>
    <r>
      <rPr>
        <b/>
        <sz val="11"/>
        <color theme="1"/>
        <rFont val="Calibri"/>
        <family val="2"/>
        <scheme val="minor"/>
      </rPr>
      <t>mes de AGOSTO</t>
    </r>
  </si>
  <si>
    <r>
      <rPr>
        <sz val="11"/>
        <color rgb="FFFF0000"/>
        <rFont val="Calibri"/>
        <family val="2"/>
        <scheme val="minor"/>
      </rPr>
      <t>372117-</t>
    </r>
    <r>
      <rPr>
        <sz val="11"/>
        <color theme="1"/>
        <rFont val="Calibri"/>
        <family val="2"/>
        <scheme val="minor"/>
      </rPr>
      <t>388517</t>
    </r>
  </si>
  <si>
    <t>6452-6468-6474-6475</t>
  </si>
  <si>
    <t>06-7-10098-17</t>
  </si>
  <si>
    <t>BELISARIO VELASQUEZ &amp; ASOCIADOS</t>
  </si>
  <si>
    <t>06-2-10038-17 ADC # 1</t>
  </si>
  <si>
    <t>1592-1596</t>
  </si>
  <si>
    <t>06-1-10163-17</t>
  </si>
  <si>
    <t>INVER RESTREPO Y CIA SAS</t>
  </si>
  <si>
    <t>06-7-10091-17</t>
  </si>
  <si>
    <t>DATEXCO COMPANY SA</t>
  </si>
  <si>
    <t>06-2-10102-17 ADC # 1</t>
  </si>
  <si>
    <t>COLSOF S.A.</t>
  </si>
  <si>
    <t>006-174521</t>
  </si>
  <si>
    <t>2017/1854</t>
  </si>
  <si>
    <t>06-2-10039-17 adc # 1</t>
  </si>
  <si>
    <t>2017/1862-2</t>
  </si>
  <si>
    <t>06-2-10088-17 adc # 1</t>
  </si>
  <si>
    <t>MOTOROLA SOLUTIONS INC</t>
  </si>
  <si>
    <t>0000023460775 nd# 01601</t>
  </si>
  <si>
    <t>06-7-10027-17</t>
  </si>
  <si>
    <t>PENSEMOS SA.</t>
  </si>
  <si>
    <t>06-1-10080-17</t>
  </si>
  <si>
    <t>MARCO TULIO GONZALEZ</t>
  </si>
  <si>
    <t>10/01/218</t>
  </si>
  <si>
    <t>06-2-10130-17</t>
  </si>
  <si>
    <t>CONSOR, GORRAS DE CALIDAD</t>
  </si>
  <si>
    <t>2</t>
  </si>
  <si>
    <t>06-2-10077-17 ADC # 1</t>
  </si>
  <si>
    <t>MIGUEL CABALLERO SAS</t>
  </si>
  <si>
    <t>06-2-10077-17 ADC # 2</t>
  </si>
  <si>
    <t>06-7-10127-17</t>
  </si>
  <si>
    <t>SECURITY TECH CONTROL</t>
  </si>
  <si>
    <t>06-7-10120-17</t>
  </si>
  <si>
    <t>FIRMA ABCONTROL INGENIERIA SAS</t>
  </si>
  <si>
    <t>06-2-10094-17</t>
  </si>
  <si>
    <t>CONSORCIO ACCESORIOS M&amp;N TACTICA</t>
  </si>
  <si>
    <t>4-5-6 ND 01-02NC 01</t>
  </si>
  <si>
    <t>9000048704 NC #  1000052</t>
  </si>
  <si>
    <t>06-5-10028-17 adc # 1</t>
  </si>
  <si>
    <t>06-2-10160-17-</t>
  </si>
  <si>
    <t>MSL DISTRIB &amp; CIA SAS</t>
  </si>
  <si>
    <t>06-7-10134-17</t>
  </si>
  <si>
    <t>ASOCIAC. GESTION HUMANA -ACRIP-</t>
  </si>
  <si>
    <t>06-2-10082-17</t>
  </si>
  <si>
    <t>FIGURAZIONE</t>
  </si>
  <si>
    <t>06-2-10083-17</t>
  </si>
  <si>
    <t>FIRMA IDENTICO  SAS</t>
  </si>
  <si>
    <t>06-5-10195-16 ADC #1</t>
  </si>
  <si>
    <t>06-7-10152-17</t>
  </si>
  <si>
    <t>QUALITAS SALUD LTDA</t>
  </si>
  <si>
    <t>06-7-10136-17</t>
  </si>
  <si>
    <t xml:space="preserve">CONSEJO COLOMBIANO DE SEGUR </t>
  </si>
  <si>
    <t>06-7-10192-16</t>
  </si>
  <si>
    <t xml:space="preserve">REIMPODIESEL </t>
  </si>
  <si>
    <t>12998 A 13022 ( 22 FRAS) OCTUBRE</t>
  </si>
  <si>
    <t>06-7-10119-17</t>
  </si>
  <si>
    <t>E&amp;C INGENIEROS</t>
  </si>
  <si>
    <t>06-1-10109-17</t>
  </si>
  <si>
    <t>AGRICOLA LA BOCATOMA LTDA</t>
  </si>
  <si>
    <t>8</t>
  </si>
  <si>
    <t>LOA CO-B-BNM</t>
  </si>
  <si>
    <t>anticipo 100%</t>
  </si>
  <si>
    <r>
      <t xml:space="preserve">06-7-10055-17 </t>
    </r>
    <r>
      <rPr>
        <sz val="11"/>
        <color rgb="FFFF0000"/>
        <rFont val="Calibri"/>
        <family val="2"/>
        <scheme val="minor"/>
      </rPr>
      <t>CESION</t>
    </r>
  </si>
  <si>
    <t>DEXON SOFTWARE S.A.</t>
  </si>
  <si>
    <t>06-7-10123-17</t>
  </si>
  <si>
    <t>SUCOMPUTO</t>
  </si>
  <si>
    <t>06-5-10115-17 adc # 1</t>
  </si>
  <si>
    <t>06-7-10139-17</t>
  </si>
  <si>
    <t>MICROSOFT OF COLOMBIA</t>
  </si>
  <si>
    <t>ORDEN DE COMPRA # 19853 adc # 1</t>
  </si>
  <si>
    <t>12832-833-834-835-836-837-838-1809-1811-1810-1812</t>
  </si>
  <si>
    <t>06-2-10140-17</t>
  </si>
  <si>
    <t>FIRMA IDENTICOS SAS</t>
  </si>
  <si>
    <t>06-7-10016-17</t>
  </si>
  <si>
    <t>LANZETA RENGIFO</t>
  </si>
  <si>
    <t>06-2-10122-17</t>
  </si>
  <si>
    <t>ABC INTERCARGO SAS</t>
  </si>
  <si>
    <t>A20</t>
  </si>
  <si>
    <t>06-5-10124-17</t>
  </si>
  <si>
    <t>PAGO ANTICIPADO SE-15273</t>
  </si>
  <si>
    <t>15277-15302-15305-15306-15307</t>
  </si>
  <si>
    <t>06-2-10128-17</t>
  </si>
  <si>
    <t>06-2-10146-17</t>
  </si>
  <si>
    <t>EAGLE COMERCIAL</t>
  </si>
  <si>
    <t>06-7-10132-17</t>
  </si>
  <si>
    <t>06-2-10118-17</t>
  </si>
  <si>
    <t>FIRMA NAUTICENTER SAS</t>
  </si>
  <si>
    <t>06-1-10164-17</t>
  </si>
  <si>
    <t>INVERMILENIUM</t>
  </si>
  <si>
    <t>06-6-10097-17</t>
  </si>
  <si>
    <t>ALVARO MILTON MONTENEGRO MARTINEZ</t>
  </si>
  <si>
    <t>0160</t>
  </si>
  <si>
    <t>06-7-10133-17</t>
  </si>
  <si>
    <t>U T CHEVROLET DIRAF 2017</t>
  </si>
  <si>
    <t>1 a 46( 36 fras) NOV-DIC</t>
  </si>
  <si>
    <t>6 nc 5;7</t>
  </si>
  <si>
    <t>06-7-10147-17</t>
  </si>
  <si>
    <t>VERTICAL MOUNTS SERVICES SAS</t>
  </si>
  <si>
    <t>042</t>
  </si>
  <si>
    <t>87286-</t>
  </si>
  <si>
    <t>ORDEN DE COMPRA 16668 ADC # 1</t>
  </si>
  <si>
    <t>87590-87591-87613</t>
  </si>
  <si>
    <t>06-2-10100-17</t>
  </si>
  <si>
    <t>YAMAKI SAS</t>
  </si>
  <si>
    <t>06-7-10058-17</t>
  </si>
  <si>
    <t>IMAGEN SCAN SAS</t>
  </si>
  <si>
    <t>06-2-10103-17</t>
  </si>
  <si>
    <t>SEINCO INGENIERIA SAS</t>
  </si>
  <si>
    <t>B10707B2101</t>
  </si>
  <si>
    <t>ORDEN DE COMPRA 22174</t>
  </si>
  <si>
    <t>YOKOMOTOR</t>
  </si>
  <si>
    <t>408717-408817-408917</t>
  </si>
  <si>
    <t>6567 a6571; 6172-6174-6173-6175</t>
  </si>
  <si>
    <t>17/01/2018;25/01/2018</t>
  </si>
  <si>
    <t>ORDEN DE COMPRA 22174 ADICION 1</t>
  </si>
  <si>
    <t>409017-409117-409217</t>
  </si>
  <si>
    <t>06-5-10138-17</t>
  </si>
  <si>
    <t>015336</t>
  </si>
  <si>
    <t>ORDEN DE COMPRA # 20444</t>
  </si>
  <si>
    <t>FANALCA</t>
  </si>
  <si>
    <t>409617-409717-409917</t>
  </si>
  <si>
    <t>14435 a 14958-90063-90068-90069-90066 (44 fras)</t>
  </si>
  <si>
    <t>ORDEN DE COMPRA # 20445</t>
  </si>
  <si>
    <r>
      <t>410617-410817-</t>
    </r>
    <r>
      <rPr>
        <sz val="11"/>
        <color rgb="FFFF0000"/>
        <rFont val="Calibri"/>
        <family val="2"/>
        <scheme val="minor"/>
      </rPr>
      <t>410917</t>
    </r>
    <r>
      <rPr>
        <sz val="11"/>
        <rFont val="Calibri"/>
        <family val="2"/>
        <scheme val="minor"/>
      </rPr>
      <t>-422417</t>
    </r>
  </si>
  <si>
    <t>ORDEN DE COMPRA # 20445 ADC # 1</t>
  </si>
  <si>
    <t>06-7-10156-17</t>
  </si>
  <si>
    <t xml:space="preserve">MOTOROLA </t>
  </si>
  <si>
    <t>167868</t>
  </si>
  <si>
    <r>
      <t>412017-</t>
    </r>
    <r>
      <rPr>
        <sz val="11"/>
        <rFont val="Calibri"/>
        <family val="2"/>
        <scheme val="minor"/>
      </rPr>
      <t>419517</t>
    </r>
  </si>
  <si>
    <t>6464-65-66-67-69-72-73-76-77 nd # 24369-24556</t>
  </si>
  <si>
    <t>ORDEN DE COMPRA 20858</t>
  </si>
  <si>
    <t>SOFASA S.A</t>
  </si>
  <si>
    <t>412217-412317-412417</t>
  </si>
  <si>
    <t>229100573-574-1193-10832-10850-10833</t>
  </si>
  <si>
    <t>ORDEN DE COMPRA # 22114</t>
  </si>
  <si>
    <t>412517-412617-412717</t>
  </si>
  <si>
    <t>511696 A 511710 (15 FRAS); 9316-5195-74727-5194</t>
  </si>
  <si>
    <t>ORDEN DE COMPRA 22178</t>
  </si>
  <si>
    <t>412917-413017-413117</t>
  </si>
  <si>
    <t>4746-4747-4748 2201-0872-0946-10877</t>
  </si>
  <si>
    <t>06-7-10148-17</t>
  </si>
  <si>
    <t>PULXAR CONSULTING LTDA</t>
  </si>
  <si>
    <r>
      <t>415617-</t>
    </r>
    <r>
      <rPr>
        <sz val="11"/>
        <rFont val="Calibri"/>
        <family val="2"/>
        <scheme val="minor"/>
      </rPr>
      <t>419617</t>
    </r>
  </si>
  <si>
    <t>12998 A 13023 ( 24 FRAS) OCTUBRE; 13033 A 13060 ( 24 FRAS) NOVIEMBRE NC # 046;13068-13077 (9 FRAS) DICIEMBRE</t>
  </si>
  <si>
    <t>0000023812339 nd# 01604</t>
  </si>
  <si>
    <t>07-7-20027-17 ADC # 1</t>
  </si>
  <si>
    <t>PRESTAC. SERV. SOPORTE PLATAF BASE DE DATOS Y SERV. ORACLE</t>
  </si>
  <si>
    <t>008</t>
  </si>
  <si>
    <t>06-2-10150-17</t>
  </si>
  <si>
    <t>MOZT DE COLOMBIA</t>
  </si>
  <si>
    <t>55808-000000812298 ND# 01602</t>
  </si>
  <si>
    <t>06-1-10169-17</t>
  </si>
  <si>
    <t>73262 nc # 2017120057</t>
  </si>
  <si>
    <r>
      <t xml:space="preserve">06-2-10022-17 </t>
    </r>
    <r>
      <rPr>
        <b/>
        <sz val="11"/>
        <rFont val="Calibri"/>
        <family val="2"/>
      </rPr>
      <t>CTATO CON CESION DERCHS ECON, A MACROPARTES NIT 900,110,012</t>
    </r>
  </si>
  <si>
    <t>15-16 NC # 5</t>
  </si>
  <si>
    <r>
      <rPr>
        <sz val="11"/>
        <color rgb="FFFF0000"/>
        <rFont val="Calibri"/>
        <family val="2"/>
        <scheme val="minor"/>
      </rPr>
      <t>417717</t>
    </r>
    <r>
      <rPr>
        <sz val="11"/>
        <rFont val="Calibri"/>
        <family val="2"/>
        <scheme val="minor"/>
      </rPr>
      <t>-422017</t>
    </r>
  </si>
  <si>
    <t>ORDEN DE COMPRA 13730 ADC # 2</t>
  </si>
  <si>
    <t>303 PÓLIZA SOAT</t>
  </si>
  <si>
    <t>06-2-10096-17</t>
  </si>
  <si>
    <t>CONSORCIO DISLAR 2017</t>
  </si>
  <si>
    <t>06-2-10096-17 ADC # 1</t>
  </si>
  <si>
    <t xml:space="preserve">ORDEN DE COMPRA # 21335 </t>
  </si>
  <si>
    <t>LADOINSA LABORES DOTACIONES INDUSTR SAS</t>
  </si>
  <si>
    <t>06-2-10149-17</t>
  </si>
  <si>
    <t>ATLANTA CUTLERY CORPORATION</t>
  </si>
  <si>
    <t>ORDEN DE COMPRA 22231</t>
  </si>
  <si>
    <t>302010007712-327910000370</t>
  </si>
  <si>
    <t>06-6-10107-17</t>
  </si>
  <si>
    <t xml:space="preserve">KA S.A. </t>
  </si>
  <si>
    <t>254-256</t>
  </si>
  <si>
    <t>ANDREA</t>
  </si>
  <si>
    <t>411117-411217-411317</t>
  </si>
  <si>
    <t>06-2-10135-17</t>
  </si>
  <si>
    <t>MEDACOP SAS</t>
  </si>
  <si>
    <t>6692-6681-6688-6691</t>
  </si>
  <si>
    <t>06-5-10084-17</t>
  </si>
  <si>
    <t>IMPRENTA NACIONAL DE C/BIA</t>
  </si>
  <si>
    <t>88617-8611-8615-8493-8587-8403-8231-8144-88095-8775-9111-8993-9077-9001-9462-9334-9215-9801-9800-9799-9795</t>
  </si>
  <si>
    <t>ORDEN DE COMPRA 23028</t>
  </si>
  <si>
    <t xml:space="preserve">ALIANZA ESTRAT, OUTSOURCING &amp; SUMINIS. </t>
  </si>
  <si>
    <t>ORDEN DE COMPRA 23033</t>
  </si>
  <si>
    <t>INSTITUC. STAR SERVICES LTDA</t>
  </si>
  <si>
    <t>ORDEN DE COMPRA 23037</t>
  </si>
  <si>
    <t>PAPELERIA LOS ANDES</t>
  </si>
  <si>
    <t>16009-NC # 009</t>
  </si>
  <si>
    <t>ORDEN DE COMPRA 23035</t>
  </si>
  <si>
    <t>S.O.S. SOLUCIONES DE OFICINA &amp; SUMIN.SAS</t>
  </si>
  <si>
    <t>ORDEN DE COMPRA 23036</t>
  </si>
  <si>
    <t>ORDEN DE COMPRA 23034</t>
  </si>
  <si>
    <t>PANAMERICANA OUTSOURCING S.A.</t>
  </si>
  <si>
    <t>ORDEN DE COMPRA 23031</t>
  </si>
  <si>
    <t>ORDEN DE COMPRA 23032</t>
  </si>
  <si>
    <t>3020702 nc #5020</t>
  </si>
  <si>
    <t>ORDEN DE COMPRA 23030</t>
  </si>
  <si>
    <t>06-6-10163-16</t>
  </si>
  <si>
    <t>CONSOR,SAN AGUSTIN</t>
  </si>
  <si>
    <t>19-20</t>
  </si>
  <si>
    <t>06-6-10163-16 ADC # 1</t>
  </si>
  <si>
    <t>9010172531, ahora a la u.t 901017253</t>
  </si>
  <si>
    <t>ORDEN DE COMPRA # 19206</t>
  </si>
  <si>
    <t>YAMAHA</t>
  </si>
  <si>
    <t>06-6-10180-16</t>
  </si>
  <si>
    <t xml:space="preserve">CONSORCIO BS 16 </t>
  </si>
  <si>
    <t>06-3-10150-16</t>
  </si>
  <si>
    <t>CONSORCIO IGE</t>
  </si>
  <si>
    <t>06-6-10176-15 ADC #2</t>
  </si>
  <si>
    <t>ANTICIPO 50%</t>
  </si>
  <si>
    <t>06-6-10063-17</t>
  </si>
  <si>
    <t>CONSORCIO GENESIS</t>
  </si>
  <si>
    <t>A4</t>
  </si>
  <si>
    <t>06-6-10063-17 adc # 1</t>
  </si>
  <si>
    <t>369817-</t>
  </si>
  <si>
    <t>A5</t>
  </si>
  <si>
    <t>06-3-10069-17</t>
  </si>
  <si>
    <t>UNION TEMPORAL ORTEGA SIETE</t>
  </si>
  <si>
    <t>06-2-10088-17</t>
  </si>
  <si>
    <t>ORDEN DE COMPRA # 19207</t>
  </si>
  <si>
    <t>371117-371217-371417</t>
  </si>
  <si>
    <t>275 FRAS (271 MOTOS, 1 MATRICULA, 1 ACCESOR, 1 MNATMO Y 1 SOAT)</t>
  </si>
  <si>
    <t>ORDEN DE COMPRA # 19207 ADC # 1</t>
  </si>
  <si>
    <t>372317-372417-372517</t>
  </si>
  <si>
    <t>13</t>
  </si>
  <si>
    <t>06-2-10102-17</t>
  </si>
  <si>
    <t>373417-</t>
  </si>
  <si>
    <t>06-6-10147-16</t>
  </si>
  <si>
    <t>CONSORCIO OBRAS SIBATE</t>
  </si>
  <si>
    <t>06-3-10143-16</t>
  </si>
  <si>
    <t>CONSORCIO BEDA</t>
  </si>
  <si>
    <t>06-2-10077-17</t>
  </si>
  <si>
    <t>22</t>
  </si>
  <si>
    <t>011</t>
  </si>
  <si>
    <t>06-2-10141-17</t>
  </si>
  <si>
    <t xml:space="preserve">ONA SYSTEMS S.A.S. </t>
  </si>
  <si>
    <t>06-2-10095-17</t>
  </si>
  <si>
    <t>ITO SOFTWARE SAS</t>
  </si>
  <si>
    <r>
      <t xml:space="preserve">06-2-10116-17 </t>
    </r>
    <r>
      <rPr>
        <sz val="10"/>
        <color rgb="FFFF0000"/>
        <rFont val="Calibri"/>
        <family val="2"/>
        <scheme val="minor"/>
      </rPr>
      <t>PAGAR A OLIMPIA 900032774</t>
    </r>
  </si>
  <si>
    <t>UT  RECONOSER</t>
  </si>
  <si>
    <t>06-5-10115-17</t>
  </si>
  <si>
    <t>015197</t>
  </si>
  <si>
    <t>24</t>
  </si>
  <si>
    <t>012</t>
  </si>
  <si>
    <t>06-2-10114-17</t>
  </si>
  <si>
    <t>EDUARDO LONDOÑO E HIJOS</t>
  </si>
  <si>
    <t>319926-27-29-28</t>
  </si>
  <si>
    <r>
      <t>386217-386317-</t>
    </r>
    <r>
      <rPr>
        <sz val="10"/>
        <color rgb="FFFF0000"/>
        <rFont val="Calibri"/>
        <family val="2"/>
      </rPr>
      <t>386417-</t>
    </r>
    <r>
      <rPr>
        <sz val="10"/>
        <rFont val="Calibri"/>
        <family val="2"/>
      </rPr>
      <t>389217</t>
    </r>
  </si>
  <si>
    <t>06-6-10176-15 ADC # 2</t>
  </si>
  <si>
    <t>06-3-10172-15 adc # 2</t>
  </si>
  <si>
    <t>ORDEN DE COMPRA # 19180</t>
  </si>
  <si>
    <t>405817-405917-</t>
  </si>
  <si>
    <t>45 fras de89000 10581</t>
  </si>
  <si>
    <t>ORDEN DE COMPRA # 19180 ADC #1</t>
  </si>
  <si>
    <t>406117-406217-406317</t>
  </si>
  <si>
    <t>22 fras de 0473 a10804</t>
  </si>
  <si>
    <r>
      <rPr>
        <sz val="11"/>
        <color rgb="FFFF0000"/>
        <rFont val="Calibri"/>
        <family val="2"/>
        <scheme val="minor"/>
      </rPr>
      <t>414417</t>
    </r>
    <r>
      <rPr>
        <sz val="11"/>
        <rFont val="Calibri"/>
        <family val="2"/>
        <scheme val="minor"/>
      </rPr>
      <t>-417117</t>
    </r>
  </si>
  <si>
    <t>06-6-10061-17</t>
  </si>
  <si>
    <t>CONSORCIO F3</t>
  </si>
  <si>
    <r>
      <t xml:space="preserve">900032774 </t>
    </r>
    <r>
      <rPr>
        <sz val="10"/>
        <color rgb="FFFF0000"/>
        <rFont val="Calibri"/>
        <family val="2"/>
        <scheme val="minor"/>
      </rPr>
      <t>a olymoia</t>
    </r>
  </si>
  <si>
    <t>A-06</t>
  </si>
  <si>
    <t>ASIGNACION TURNOS - TRAMITE CUENTAS DE PROVEEDORES - PAGOS ENERO 2018</t>
  </si>
  <si>
    <t>GASTOS GENERALES VIGENCIA 2018</t>
  </si>
  <si>
    <t>INVER. RESTREPO PEREA Y CIA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</si>
</sst>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.00_-;\-* #,##0.00_-;_-* &quot;-&quot;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ucida Sans Unicode"/>
      <family val="2"/>
    </font>
    <font>
      <b/>
      <sz val="10"/>
      <name val="Lucida Sans Unicode"/>
      <family val="2"/>
    </font>
    <font>
      <b/>
      <sz val="10"/>
      <color rgb="FFFF00FF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u/>
      <sz val="9"/>
      <color theme="10"/>
      <name val="Arial"/>
      <family val="2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11"/>
      <color rgb="FF66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8.5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1"/>
      <color indexed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name val="Calibri"/>
      <family val="2"/>
    </font>
    <font>
      <sz val="7"/>
      <color theme="1"/>
      <name val="Calibri"/>
      <family val="2"/>
      <scheme val="minor"/>
    </font>
    <font>
      <sz val="10"/>
      <color theme="1"/>
      <name val="Segoe UI"/>
      <family val="2"/>
    </font>
    <font>
      <sz val="7"/>
      <color indexed="8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</fonts>
  <fills count="10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gradientFill degree="135">
        <stop position="0">
          <color theme="0"/>
        </stop>
        <stop position="1">
          <color rgb="FF39EEF7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09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3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6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43" fontId="3" fillId="0" borderId="1" xfId="1" applyFont="1" applyFill="1" applyBorder="1"/>
    <xf numFmtId="0" fontId="0" fillId="0" borderId="0" xfId="0" applyFill="1"/>
    <xf numFmtId="43" fontId="6" fillId="0" borderId="0" xfId="1" applyFont="1" applyFill="1" applyProtection="1">
      <protection hidden="1"/>
    </xf>
    <xf numFmtId="43" fontId="7" fillId="0" borderId="0" xfId="1" applyFont="1" applyAlignment="1" applyProtection="1">
      <protection hidden="1"/>
    </xf>
    <xf numFmtId="164" fontId="7" fillId="0" borderId="0" xfId="0" applyNumberFormat="1" applyFont="1" applyAlignment="1" applyProtection="1">
      <alignment horizontal="right"/>
      <protection hidden="1"/>
    </xf>
    <xf numFmtId="43" fontId="7" fillId="0" borderId="0" xfId="1" applyFont="1" applyFill="1" applyAlignment="1">
      <alignment horizontal="center"/>
    </xf>
    <xf numFmtId="43" fontId="8" fillId="0" borderId="0" xfId="1" applyFont="1" applyFill="1" applyBorder="1" applyAlignment="1" applyProtection="1">
      <alignment horizontal="center"/>
      <protection hidden="1"/>
    </xf>
    <xf numFmtId="165" fontId="9" fillId="0" borderId="0" xfId="2" applyNumberFormat="1" applyAlignment="1" applyProtection="1"/>
    <xf numFmtId="43" fontId="0" fillId="0" borderId="0" xfId="1" applyFont="1" applyAlignment="1">
      <alignment horizontal="right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43" fontId="12" fillId="4" borderId="0" xfId="1" applyNumberFormat="1" applyFont="1" applyFill="1" applyAlignment="1">
      <alignment horizontal="center"/>
    </xf>
    <xf numFmtId="43" fontId="12" fillId="5" borderId="0" xfId="1" applyFont="1" applyFill="1" applyAlignment="1">
      <alignment horizontal="center"/>
    </xf>
    <xf numFmtId="0" fontId="0" fillId="6" borderId="0" xfId="0" applyFill="1"/>
    <xf numFmtId="0" fontId="0" fillId="0" borderId="1" xfId="0" applyFill="1" applyBorder="1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 applyFill="1"/>
    <xf numFmtId="0" fontId="3" fillId="0" borderId="0" xfId="0" applyFont="1" applyFill="1"/>
    <xf numFmtId="0" fontId="11" fillId="0" borderId="0" xfId="0" applyNumberFormat="1" applyFont="1" applyFill="1" applyBorder="1" applyAlignment="1" applyProtection="1">
      <alignment vertical="center"/>
      <protection locked="0"/>
    </xf>
    <xf numFmtId="43" fontId="12" fillId="0" borderId="0" xfId="1" applyFont="1" applyFill="1" applyAlignment="1">
      <alignment horizontal="center"/>
    </xf>
    <xf numFmtId="43" fontId="12" fillId="0" borderId="0" xfId="1" applyNumberFormat="1" applyFont="1" applyFill="1" applyAlignment="1">
      <alignment horizontal="center"/>
    </xf>
    <xf numFmtId="43" fontId="14" fillId="5" borderId="0" xfId="1" applyNumberFormat="1" applyFont="1" applyFill="1" applyAlignment="1">
      <alignment horizontal="center"/>
    </xf>
    <xf numFmtId="14" fontId="3" fillId="7" borderId="1" xfId="1" applyNumberFormat="1" applyFont="1" applyFill="1" applyBorder="1"/>
    <xf numFmtId="0" fontId="10" fillId="0" borderId="1" xfId="0" applyFont="1" applyFill="1" applyBorder="1"/>
    <xf numFmtId="43" fontId="3" fillId="0" borderId="0" xfId="27" applyFont="1" applyFill="1"/>
    <xf numFmtId="0" fontId="26" fillId="7" borderId="1" xfId="0" applyFont="1" applyFill="1" applyBorder="1" applyAlignment="1">
      <alignment wrapText="1"/>
    </xf>
    <xf numFmtId="0" fontId="3" fillId="7" borderId="1" xfId="0" applyFont="1" applyFill="1" applyBorder="1" applyAlignment="1">
      <alignment wrapText="1"/>
    </xf>
    <xf numFmtId="0" fontId="16" fillId="7" borderId="1" xfId="0" applyFont="1" applyFill="1" applyBorder="1" applyAlignment="1">
      <alignment wrapText="1"/>
    </xf>
    <xf numFmtId="16" fontId="3" fillId="7" borderId="1" xfId="0" quotePrefix="1" applyNumberFormat="1" applyFont="1" applyFill="1" applyBorder="1" applyAlignment="1">
      <alignment horizontal="center"/>
    </xf>
    <xf numFmtId="0" fontId="3" fillId="7" borderId="2" xfId="0" applyFont="1" applyFill="1" applyBorder="1"/>
    <xf numFmtId="1" fontId="0" fillId="7" borderId="1" xfId="0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5" fontId="3" fillId="3" borderId="1" xfId="0" applyNumberFormat="1" applyFont="1" applyFill="1" applyBorder="1"/>
    <xf numFmtId="0" fontId="3" fillId="3" borderId="1" xfId="0" applyFont="1" applyFill="1" applyBorder="1" applyAlignment="1">
      <alignment horizontal="right"/>
    </xf>
    <xf numFmtId="43" fontId="3" fillId="3" borderId="1" xfId="1" applyFont="1" applyFill="1" applyBorder="1" applyAlignment="1">
      <alignment horizontal="right"/>
    </xf>
    <xf numFmtId="0" fontId="3" fillId="3" borderId="1" xfId="0" quotePrefix="1" applyFont="1" applyFill="1" applyBorder="1" applyAlignment="1">
      <alignment horizontal="center"/>
    </xf>
    <xf numFmtId="14" fontId="0" fillId="3" borderId="1" xfId="0" applyNumberFormat="1" applyFont="1" applyFill="1" applyBorder="1"/>
    <xf numFmtId="43" fontId="3" fillId="7" borderId="1" xfId="1" applyFont="1" applyFill="1" applyBorder="1" applyAlignment="1">
      <alignment horizontal="right"/>
    </xf>
    <xf numFmtId="43" fontId="3" fillId="7" borderId="6" xfId="1" applyFont="1" applyFill="1" applyBorder="1" applyAlignment="1">
      <alignment horizontal="right"/>
    </xf>
    <xf numFmtId="43" fontId="1" fillId="7" borderId="1" xfId="1" applyFont="1" applyFill="1" applyBorder="1" applyAlignment="1">
      <alignment horizontal="right"/>
    </xf>
    <xf numFmtId="43" fontId="3" fillId="7" borderId="1" xfId="1" applyFont="1" applyFill="1" applyBorder="1"/>
    <xf numFmtId="43" fontId="0" fillId="7" borderId="1" xfId="1" applyFont="1" applyFill="1" applyBorder="1" applyAlignment="1">
      <alignment horizontal="right"/>
    </xf>
    <xf numFmtId="165" fontId="3" fillId="7" borderId="1" xfId="6" applyFont="1" applyFill="1" applyBorder="1"/>
    <xf numFmtId="44" fontId="3" fillId="7" borderId="1" xfId="0" applyNumberFormat="1" applyFont="1" applyFill="1" applyBorder="1"/>
    <xf numFmtId="0" fontId="26" fillId="7" borderId="1" xfId="0" applyFont="1" applyFill="1" applyBorder="1"/>
    <xf numFmtId="165" fontId="16" fillId="7" borderId="1" xfId="6" applyFont="1" applyFill="1" applyBorder="1"/>
    <xf numFmtId="0" fontId="16" fillId="7" borderId="1" xfId="0" applyFont="1" applyFill="1" applyBorder="1" applyAlignment="1">
      <alignment horizontal="right" wrapText="1"/>
    </xf>
    <xf numFmtId="43" fontId="16" fillId="7" borderId="1" xfId="1" applyFont="1" applyFill="1" applyBorder="1"/>
    <xf numFmtId="165" fontId="16" fillId="7" borderId="1" xfId="6" applyFont="1" applyFill="1" applyBorder="1" applyAlignment="1">
      <alignment horizontal="center"/>
    </xf>
    <xf numFmtId="0" fontId="27" fillId="0" borderId="1" xfId="0" applyFont="1" applyFill="1" applyBorder="1" applyAlignment="1">
      <alignment wrapText="1"/>
    </xf>
    <xf numFmtId="43" fontId="19" fillId="0" borderId="1" xfId="5" applyFont="1" applyFill="1" applyBorder="1"/>
    <xf numFmtId="0" fontId="18" fillId="0" borderId="1" xfId="0" applyFont="1" applyFill="1" applyBorder="1" applyAlignment="1">
      <alignment horizontal="right" wrapText="1"/>
    </xf>
    <xf numFmtId="0" fontId="3" fillId="7" borderId="6" xfId="0" applyFont="1" applyFill="1" applyBorder="1" applyAlignment="1">
      <alignment horizontal="right"/>
    </xf>
    <xf numFmtId="0" fontId="3" fillId="7" borderId="6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65" fontId="3" fillId="0" borderId="1" xfId="6" applyFont="1" applyFill="1" applyBorder="1"/>
    <xf numFmtId="0" fontId="0" fillId="0" borderId="0" xfId="0"/>
    <xf numFmtId="15" fontId="3" fillId="7" borderId="1" xfId="0" applyNumberFormat="1" applyFont="1" applyFill="1" applyBorder="1"/>
    <xf numFmtId="0" fontId="3" fillId="7" borderId="1" xfId="0" applyFont="1" applyFill="1" applyBorder="1"/>
    <xf numFmtId="0" fontId="0" fillId="7" borderId="1" xfId="0" applyFont="1" applyFill="1" applyBorder="1"/>
    <xf numFmtId="43" fontId="16" fillId="7" borderId="1" xfId="5" applyFont="1" applyFill="1" applyBorder="1" applyAlignment="1">
      <alignment horizontal="center"/>
    </xf>
    <xf numFmtId="0" fontId="1" fillId="7" borderId="1" xfId="0" applyFont="1" applyFill="1" applyBorder="1"/>
    <xf numFmtId="15" fontId="3" fillId="7" borderId="1" xfId="0" applyNumberFormat="1" applyFont="1" applyFill="1" applyBorder="1" applyAlignment="1">
      <alignment horizontal="right"/>
    </xf>
    <xf numFmtId="0" fontId="1" fillId="7" borderId="1" xfId="0" quotePrefix="1" applyFont="1" applyFill="1" applyBorder="1" applyAlignment="1">
      <alignment horizontal="center"/>
    </xf>
    <xf numFmtId="0" fontId="1" fillId="7" borderId="1" xfId="0" applyFont="1" applyFill="1" applyBorder="1" applyAlignment="1">
      <alignment horizontal="right"/>
    </xf>
    <xf numFmtId="0" fontId="20" fillId="7" borderId="1" xfId="0" applyFont="1" applyFill="1" applyBorder="1" applyAlignment="1">
      <alignment horizontal="left" vertical="center"/>
    </xf>
    <xf numFmtId="0" fontId="20" fillId="7" borderId="1" xfId="0" applyFont="1" applyFill="1" applyBorder="1"/>
    <xf numFmtId="0" fontId="21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/>
    </xf>
    <xf numFmtId="0" fontId="23" fillId="7" borderId="1" xfId="0" applyFont="1" applyFill="1" applyBorder="1" applyAlignment="1">
      <alignment wrapText="1"/>
    </xf>
    <xf numFmtId="0" fontId="1" fillId="7" borderId="7" xfId="0" applyFont="1" applyFill="1" applyBorder="1"/>
    <xf numFmtId="0" fontId="3" fillId="7" borderId="1" xfId="0" quotePrefix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left" vertical="center"/>
    </xf>
    <xf numFmtId="0" fontId="21" fillId="7" borderId="1" xfId="0" applyFont="1" applyFill="1" applyBorder="1"/>
    <xf numFmtId="0" fontId="3" fillId="7" borderId="1" xfId="0" applyFont="1" applyFill="1" applyBorder="1" applyAlignment="1">
      <alignment vertical="center" wrapText="1"/>
    </xf>
    <xf numFmtId="167" fontId="3" fillId="7" borderId="1" xfId="0" applyNumberFormat="1" applyFont="1" applyFill="1" applyBorder="1"/>
    <xf numFmtId="0" fontId="15" fillId="7" borderId="1" xfId="0" quotePrefix="1" applyFont="1" applyFill="1" applyBorder="1" applyAlignment="1">
      <alignment horizontal="center"/>
    </xf>
    <xf numFmtId="0" fontId="2" fillId="7" borderId="1" xfId="0" quotePrefix="1" applyFont="1" applyFill="1" applyBorder="1" applyAlignment="1">
      <alignment horizontal="center"/>
    </xf>
    <xf numFmtId="0" fontId="18" fillId="7" borderId="1" xfId="0" applyFont="1" applyFill="1" applyBorder="1" applyAlignment="1">
      <alignment horizontal="right" wrapText="1"/>
    </xf>
    <xf numFmtId="0" fontId="27" fillId="7" borderId="1" xfId="0" applyFont="1" applyFill="1" applyBorder="1" applyAlignment="1">
      <alignment wrapText="1"/>
    </xf>
    <xf numFmtId="0" fontId="0" fillId="7" borderId="7" xfId="0" applyFont="1" applyFill="1" applyBorder="1"/>
    <xf numFmtId="0" fontId="0" fillId="7" borderId="1" xfId="0" quotePrefix="1" applyFont="1" applyFill="1" applyBorder="1" applyAlignment="1">
      <alignment horizontal="center"/>
    </xf>
    <xf numFmtId="16" fontId="2" fillId="7" borderId="1" xfId="0" quotePrefix="1" applyNumberFormat="1" applyFont="1" applyFill="1" applyBorder="1" applyAlignment="1">
      <alignment horizontal="center"/>
    </xf>
    <xf numFmtId="0" fontId="21" fillId="7" borderId="3" xfId="0" applyFont="1" applyFill="1" applyBorder="1" applyAlignment="1">
      <alignment vertical="center"/>
    </xf>
    <xf numFmtId="0" fontId="20" fillId="7" borderId="3" xfId="0" applyFont="1" applyFill="1" applyBorder="1" applyAlignment="1">
      <alignment horizontal="left" vertical="center"/>
    </xf>
    <xf numFmtId="0" fontId="20" fillId="7" borderId="3" xfId="0" applyFont="1" applyFill="1" applyBorder="1"/>
    <xf numFmtId="0" fontId="1" fillId="7" borderId="3" xfId="0" applyFont="1" applyFill="1" applyBorder="1" applyAlignment="1">
      <alignment horizontal="right"/>
    </xf>
    <xf numFmtId="0" fontId="1" fillId="7" borderId="3" xfId="0" applyFont="1" applyFill="1" applyBorder="1" applyAlignment="1">
      <alignment horizontal="center"/>
    </xf>
    <xf numFmtId="0" fontId="21" fillId="7" borderId="1" xfId="0" applyFont="1" applyFill="1" applyBorder="1" applyAlignment="1">
      <alignment vertical="center"/>
    </xf>
    <xf numFmtId="0" fontId="0" fillId="7" borderId="1" xfId="0" applyFont="1" applyFill="1" applyBorder="1" applyAlignment="1">
      <alignment horizontal="center"/>
    </xf>
    <xf numFmtId="0" fontId="0" fillId="0" borderId="0" xfId="0" applyFill="1"/>
    <xf numFmtId="14" fontId="3" fillId="0" borderId="1" xfId="0" applyNumberFormat="1" applyFont="1" applyFill="1" applyBorder="1"/>
    <xf numFmtId="0" fontId="10" fillId="0" borderId="1" xfId="0" applyFont="1" applyFill="1" applyBorder="1"/>
    <xf numFmtId="0" fontId="15" fillId="0" borderId="1" xfId="0" applyFont="1" applyFill="1" applyBorder="1"/>
    <xf numFmtId="0" fontId="3" fillId="0" borderId="3" xfId="0" applyFont="1" applyFill="1" applyBorder="1" applyAlignment="1"/>
    <xf numFmtId="14" fontId="1" fillId="7" borderId="1" xfId="0" applyNumberFormat="1" applyFont="1" applyFill="1" applyBorder="1" applyAlignment="1">
      <alignment horizontal="right"/>
    </xf>
    <xf numFmtId="14" fontId="1" fillId="7" borderId="1" xfId="0" applyNumberFormat="1" applyFont="1" applyFill="1" applyBorder="1"/>
    <xf numFmtId="0" fontId="1" fillId="8" borderId="1" xfId="0" applyFont="1" applyFill="1" applyBorder="1"/>
    <xf numFmtId="14" fontId="1" fillId="0" borderId="1" xfId="0" applyNumberFormat="1" applyFont="1" applyFill="1" applyBorder="1"/>
    <xf numFmtId="0" fontId="26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/>
    <xf numFmtId="0" fontId="16" fillId="0" borderId="1" xfId="0" applyFont="1" applyFill="1" applyBorder="1" applyAlignment="1">
      <alignment horizontal="right"/>
    </xf>
    <xf numFmtId="44" fontId="20" fillId="0" borderId="1" xfId="17" applyFont="1" applyFill="1" applyBorder="1"/>
    <xf numFmtId="0" fontId="26" fillId="0" borderId="1" xfId="0" applyFont="1" applyFill="1" applyBorder="1" applyAlignment="1">
      <alignment horizontal="left" vertical="center"/>
    </xf>
    <xf numFmtId="15" fontId="16" fillId="0" borderId="1" xfId="0" applyNumberFormat="1" applyFont="1" applyFill="1" applyBorder="1"/>
    <xf numFmtId="0" fontId="26" fillId="0" borderId="1" xfId="0" applyFont="1" applyFill="1" applyBorder="1"/>
    <xf numFmtId="0" fontId="18" fillId="0" borderId="1" xfId="0" applyFont="1" applyFill="1" applyBorder="1" applyAlignment="1">
      <alignment wrapText="1"/>
    </xf>
    <xf numFmtId="0" fontId="21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/>
    </xf>
    <xf numFmtId="15" fontId="16" fillId="0" borderId="3" xfId="0" applyNumberFormat="1" applyFont="1" applyFill="1" applyBorder="1"/>
    <xf numFmtId="0" fontId="21" fillId="0" borderId="1" xfId="0" applyFont="1" applyFill="1" applyBorder="1"/>
    <xf numFmtId="0" fontId="20" fillId="0" borderId="3" xfId="0" applyFont="1" applyFill="1" applyBorder="1"/>
    <xf numFmtId="0" fontId="19" fillId="0" borderId="1" xfId="0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3" fillId="0" borderId="1" xfId="0" applyFont="1" applyFill="1" applyBorder="1"/>
    <xf numFmtId="15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0" fontId="10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left"/>
    </xf>
    <xf numFmtId="0" fontId="23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3" fillId="0" borderId="0" xfId="0" applyFont="1" applyFill="1"/>
    <xf numFmtId="43" fontId="3" fillId="0" borderId="1" xfId="0" applyNumberFormat="1" applyFont="1" applyFill="1" applyBorder="1"/>
    <xf numFmtId="0" fontId="0" fillId="0" borderId="1" xfId="0" applyFont="1" applyFill="1" applyBorder="1"/>
    <xf numFmtId="0" fontId="1" fillId="0" borderId="1" xfId="0" applyFont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1" fillId="0" borderId="2" xfId="0" applyFont="1" applyFill="1" applyBorder="1"/>
    <xf numFmtId="0" fontId="20" fillId="0" borderId="1" xfId="0" applyFont="1" applyBorder="1" applyAlignment="1">
      <alignment horizontal="left" vertical="center"/>
    </xf>
    <xf numFmtId="0" fontId="20" fillId="0" borderId="1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/>
    </xf>
    <xf numFmtId="0" fontId="22" fillId="0" borderId="1" xfId="0" applyFont="1" applyFill="1" applyBorder="1" applyAlignment="1">
      <alignment wrapText="1"/>
    </xf>
    <xf numFmtId="15" fontId="3" fillId="0" borderId="3" xfId="0" applyNumberFormat="1" applyFont="1" applyFill="1" applyBorder="1"/>
    <xf numFmtId="0" fontId="20" fillId="0" borderId="1" xfId="0" applyFont="1" applyBorder="1"/>
    <xf numFmtId="0" fontId="21" fillId="0" borderId="1" xfId="0" applyFont="1" applyBorder="1"/>
    <xf numFmtId="0" fontId="21" fillId="0" borderId="3" xfId="0" applyFont="1" applyFill="1" applyBorder="1" applyAlignment="1">
      <alignment vertical="center"/>
    </xf>
    <xf numFmtId="43" fontId="20" fillId="0" borderId="1" xfId="17" applyNumberFormat="1" applyFont="1" applyFill="1" applyBorder="1"/>
    <xf numFmtId="0" fontId="15" fillId="0" borderId="1" xfId="0" applyFont="1" applyFill="1" applyBorder="1" applyAlignment="1">
      <alignment horizontal="right"/>
    </xf>
    <xf numFmtId="167" fontId="3" fillId="0" borderId="1" xfId="941" applyNumberFormat="1" applyFont="1" applyFill="1" applyBorder="1"/>
    <xf numFmtId="0" fontId="3" fillId="0" borderId="1" xfId="941" applyNumberFormat="1" applyFont="1" applyFill="1" applyBorder="1" applyAlignment="1">
      <alignment horizontal="center"/>
    </xf>
    <xf numFmtId="43" fontId="3" fillId="0" borderId="1" xfId="1" applyNumberFormat="1" applyFont="1" applyFill="1" applyBorder="1"/>
    <xf numFmtId="14" fontId="3" fillId="0" borderId="1" xfId="1" applyNumberFormat="1" applyFont="1" applyFill="1" applyBorder="1" applyAlignment="1">
      <alignment horizontal="right"/>
    </xf>
    <xf numFmtId="0" fontId="3" fillId="0" borderId="1" xfId="941" quotePrefix="1" applyNumberFormat="1" applyFont="1" applyFill="1" applyBorder="1" applyAlignment="1">
      <alignment horizontal="center"/>
    </xf>
    <xf numFmtId="165" fontId="19" fillId="0" borderId="1" xfId="6" applyFont="1" applyFill="1" applyBorder="1"/>
    <xf numFmtId="43" fontId="3" fillId="0" borderId="1" xfId="1" applyNumberFormat="1" applyFont="1" applyFill="1" applyBorder="1" applyAlignment="1">
      <alignment horizontal="right"/>
    </xf>
    <xf numFmtId="0" fontId="20" fillId="5" borderId="1" xfId="0" applyFont="1" applyFill="1" applyBorder="1"/>
    <xf numFmtId="0" fontId="3" fillId="5" borderId="1" xfId="0" applyFont="1" applyFill="1" applyBorder="1"/>
    <xf numFmtId="15" fontId="3" fillId="5" borderId="1" xfId="0" applyNumberFormat="1" applyFont="1" applyFill="1" applyBorder="1"/>
    <xf numFmtId="0" fontId="20" fillId="5" borderId="1" xfId="0" applyFont="1" applyFill="1" applyBorder="1" applyAlignment="1">
      <alignment wrapText="1"/>
    </xf>
    <xf numFmtId="167" fontId="3" fillId="5" borderId="1" xfId="941" applyNumberFormat="1" applyFont="1" applyFill="1" applyBorder="1"/>
    <xf numFmtId="0" fontId="3" fillId="5" borderId="1" xfId="941" applyNumberFormat="1" applyFont="1" applyFill="1" applyBorder="1" applyAlignment="1">
      <alignment horizontal="center"/>
    </xf>
    <xf numFmtId="43" fontId="3" fillId="5" borderId="1" xfId="1" applyNumberFormat="1" applyFont="1" applyFill="1" applyBorder="1" applyAlignment="1">
      <alignment horizontal="right"/>
    </xf>
    <xf numFmtId="14" fontId="3" fillId="5" borderId="1" xfId="0" applyNumberFormat="1" applyFont="1" applyFill="1" applyBorder="1"/>
    <xf numFmtId="43" fontId="3" fillId="0" borderId="1" xfId="21" applyNumberFormat="1" applyFont="1" applyFill="1" applyBorder="1" applyAlignment="1">
      <alignment horizontal="right"/>
    </xf>
    <xf numFmtId="167" fontId="1" fillId="0" borderId="1" xfId="941" applyNumberFormat="1" applyFont="1" applyFill="1" applyBorder="1" applyAlignment="1">
      <alignment horizontal="right"/>
    </xf>
    <xf numFmtId="0" fontId="0" fillId="0" borderId="1" xfId="941" quotePrefix="1" applyNumberFormat="1" applyFont="1" applyFill="1" applyBorder="1" applyAlignment="1">
      <alignment horizontal="center"/>
    </xf>
    <xf numFmtId="43" fontId="1" fillId="0" borderId="1" xfId="1" applyNumberFormat="1" applyFont="1" applyFill="1" applyBorder="1" applyAlignment="1">
      <alignment horizontal="right"/>
    </xf>
    <xf numFmtId="0" fontId="3" fillId="0" borderId="1" xfId="941" quotePrefix="1" applyNumberFormat="1" applyFont="1" applyFill="1" applyBorder="1" applyAlignment="1">
      <alignment horizontal="center" wrapText="1"/>
    </xf>
    <xf numFmtId="167" fontId="3" fillId="0" borderId="1" xfId="941" applyNumberFormat="1" applyFont="1" applyFill="1" applyBorder="1" applyAlignment="1">
      <alignment horizontal="right"/>
    </xf>
    <xf numFmtId="43" fontId="20" fillId="0" borderId="1" xfId="4" applyNumberFormat="1" applyFont="1" applyFill="1" applyBorder="1"/>
    <xf numFmtId="0" fontId="0" fillId="0" borderId="1" xfId="941" quotePrefix="1" applyNumberFormat="1" applyFont="1" applyFill="1" applyBorder="1" applyAlignment="1">
      <alignment horizontal="center" wrapText="1"/>
    </xf>
    <xf numFmtId="43" fontId="0" fillId="0" borderId="1" xfId="1" applyNumberFormat="1" applyFont="1" applyFill="1" applyBorder="1" applyAlignment="1">
      <alignment horizontal="right"/>
    </xf>
    <xf numFmtId="0" fontId="3" fillId="0" borderId="1" xfId="941" applyNumberFormat="1" applyFont="1" applyFill="1" applyBorder="1" applyAlignment="1">
      <alignment horizontal="center" wrapText="1"/>
    </xf>
    <xf numFmtId="0" fontId="20" fillId="0" borderId="1" xfId="0" applyFont="1" applyFill="1" applyBorder="1" applyAlignment="1">
      <alignment wrapText="1"/>
    </xf>
    <xf numFmtId="0" fontId="1" fillId="0" borderId="1" xfId="941" quotePrefix="1" applyNumberFormat="1" applyFont="1" applyFill="1" applyBorder="1" applyAlignment="1">
      <alignment horizontal="center"/>
    </xf>
    <xf numFmtId="43" fontId="30" fillId="0" borderId="1" xfId="3508" applyNumberFormat="1" applyFont="1" applyBorder="1"/>
    <xf numFmtId="0" fontId="26" fillId="0" borderId="1" xfId="0" applyFont="1" applyBorder="1"/>
    <xf numFmtId="15" fontId="1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right" vertical="center"/>
    </xf>
    <xf numFmtId="167" fontId="26" fillId="0" borderId="1" xfId="941" applyNumberFormat="1" applyFont="1" applyFill="1" applyBorder="1" applyAlignment="1">
      <alignment horizontal="right"/>
    </xf>
    <xf numFmtId="0" fontId="16" fillId="0" borderId="1" xfId="941" applyNumberFormat="1" applyFont="1" applyFill="1" applyBorder="1" applyAlignment="1">
      <alignment horizontal="center" wrapText="1"/>
    </xf>
    <xf numFmtId="43" fontId="26" fillId="0" borderId="1" xfId="4" applyNumberFormat="1" applyFont="1" applyFill="1" applyBorder="1"/>
    <xf numFmtId="15" fontId="3" fillId="0" borderId="1" xfId="0" applyNumberFormat="1" applyFont="1" applyFill="1" applyBorder="1" applyAlignment="1">
      <alignment horizontal="right"/>
    </xf>
    <xf numFmtId="166" fontId="29" fillId="0" borderId="1" xfId="4" applyFont="1" applyFill="1" applyBorder="1" applyAlignment="1">
      <alignment horizontal="left" wrapText="1"/>
    </xf>
    <xf numFmtId="0" fontId="0" fillId="0" borderId="1" xfId="941" applyNumberFormat="1" applyFont="1" applyFill="1" applyBorder="1" applyAlignment="1">
      <alignment horizontal="center"/>
    </xf>
    <xf numFmtId="43" fontId="1" fillId="0" borderId="0" xfId="1" applyNumberFormat="1" applyFont="1" applyFill="1" applyAlignment="1">
      <alignment horizontal="right"/>
    </xf>
    <xf numFmtId="0" fontId="1" fillId="0" borderId="1" xfId="941" quotePrefix="1" applyNumberFormat="1" applyFont="1" applyFill="1" applyBorder="1" applyAlignment="1">
      <alignment horizontal="center" wrapText="1"/>
    </xf>
    <xf numFmtId="0" fontId="16" fillId="0" borderId="3" xfId="0" applyFont="1" applyFill="1" applyBorder="1" applyAlignment="1">
      <alignment vertical="center"/>
    </xf>
    <xf numFmtId="167" fontId="26" fillId="0" borderId="1" xfId="941" applyNumberFormat="1" applyFont="1" applyBorder="1" applyAlignment="1">
      <alignment horizontal="right"/>
    </xf>
    <xf numFmtId="0" fontId="26" fillId="0" borderId="1" xfId="941" applyNumberFormat="1" applyFont="1" applyBorder="1" applyAlignment="1">
      <alignment horizontal="center"/>
    </xf>
    <xf numFmtId="43" fontId="26" fillId="0" borderId="1" xfId="1" applyNumberFormat="1" applyFont="1" applyBorder="1" applyAlignment="1">
      <alignment horizontal="right"/>
    </xf>
    <xf numFmtId="0" fontId="26" fillId="0" borderId="1" xfId="941" quotePrefix="1" applyNumberFormat="1" applyFont="1" applyFill="1" applyBorder="1" applyAlignment="1">
      <alignment horizontal="center"/>
    </xf>
    <xf numFmtId="43" fontId="26" fillId="0" borderId="1" xfId="1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43" fontId="1" fillId="0" borderId="1" xfId="4" applyNumberFormat="1" applyFont="1" applyFill="1" applyBorder="1"/>
    <xf numFmtId="0" fontId="27" fillId="5" borderId="1" xfId="0" applyFont="1" applyFill="1" applyBorder="1" applyAlignment="1">
      <alignment wrapText="1"/>
    </xf>
    <xf numFmtId="0" fontId="20" fillId="5" borderId="1" xfId="0" applyFont="1" applyFill="1" applyBorder="1" applyAlignment="1">
      <alignment horizontal="left" vertical="center"/>
    </xf>
    <xf numFmtId="0" fontId="21" fillId="5" borderId="1" xfId="0" applyFont="1" applyFill="1" applyBorder="1" applyAlignment="1">
      <alignment horizontal="right" vertical="center"/>
    </xf>
    <xf numFmtId="0" fontId="0" fillId="5" borderId="1" xfId="941" quotePrefix="1" applyNumberFormat="1" applyFont="1" applyFill="1" applyBorder="1" applyAlignment="1">
      <alignment horizontal="center" wrapText="1"/>
    </xf>
    <xf numFmtId="43" fontId="20" fillId="5" borderId="1" xfId="17" applyNumberFormat="1" applyFont="1" applyFill="1" applyBorder="1"/>
    <xf numFmtId="14" fontId="1" fillId="5" borderId="1" xfId="0" applyNumberFormat="1" applyFont="1" applyFill="1" applyBorder="1"/>
    <xf numFmtId="0" fontId="15" fillId="0" borderId="3" xfId="0" applyFont="1" applyFill="1" applyBorder="1" applyAlignment="1"/>
    <xf numFmtId="0" fontId="15" fillId="0" borderId="1" xfId="941" applyNumberFormat="1" applyFont="1" applyFill="1" applyBorder="1" applyAlignment="1">
      <alignment horizontal="center"/>
    </xf>
    <xf numFmtId="0" fontId="31" fillId="0" borderId="1" xfId="0" applyFont="1" applyFill="1" applyBorder="1" applyAlignment="1">
      <alignment wrapText="1"/>
    </xf>
    <xf numFmtId="0" fontId="21" fillId="0" borderId="1" xfId="0" applyFont="1" applyBorder="1" applyAlignment="1">
      <alignment horizontal="left" vertical="center"/>
    </xf>
    <xf numFmtId="43" fontId="21" fillId="0" borderId="1" xfId="17" applyNumberFormat="1" applyFont="1" applyFill="1" applyBorder="1"/>
    <xf numFmtId="0" fontId="26" fillId="0" borderId="3" xfId="0" applyFont="1" applyFill="1" applyBorder="1" applyAlignment="1">
      <alignment wrapText="1"/>
    </xf>
    <xf numFmtId="0" fontId="16" fillId="0" borderId="3" xfId="0" applyFont="1" applyFill="1" applyBorder="1"/>
    <xf numFmtId="165" fontId="16" fillId="0" borderId="3" xfId="6" applyFont="1" applyFill="1" applyBorder="1"/>
    <xf numFmtId="0" fontId="16" fillId="0" borderId="3" xfId="0" applyFont="1" applyFill="1" applyBorder="1" applyAlignment="1">
      <alignment wrapText="1"/>
    </xf>
    <xf numFmtId="167" fontId="16" fillId="0" borderId="3" xfId="941" applyNumberFormat="1" applyFont="1" applyFill="1" applyBorder="1"/>
    <xf numFmtId="43" fontId="16" fillId="0" borderId="3" xfId="6" applyNumberFormat="1" applyFont="1" applyFill="1" applyBorder="1" applyAlignment="1">
      <alignment horizontal="center"/>
    </xf>
    <xf numFmtId="0" fontId="15" fillId="0" borderId="1" xfId="941" quotePrefix="1" applyNumberFormat="1" applyFont="1" applyFill="1" applyBorder="1" applyAlignment="1">
      <alignment horizontal="center"/>
    </xf>
    <xf numFmtId="167" fontId="0" fillId="0" borderId="1" xfId="941" applyNumberFormat="1" applyFont="1" applyFill="1" applyBorder="1" applyAlignment="1">
      <alignment horizontal="right"/>
    </xf>
    <xf numFmtId="0" fontId="20" fillId="5" borderId="2" xfId="0" applyFont="1" applyFill="1" applyBorder="1" applyAlignment="1">
      <alignment horizontal="left" vertical="center"/>
    </xf>
    <xf numFmtId="15" fontId="16" fillId="5" borderId="1" xfId="0" applyNumberFormat="1" applyFont="1" applyFill="1" applyBorder="1"/>
    <xf numFmtId="167" fontId="1" fillId="5" borderId="1" xfId="941" applyNumberFormat="1" applyFont="1" applyFill="1" applyBorder="1" applyAlignment="1">
      <alignment horizontal="right"/>
    </xf>
    <xf numFmtId="0" fontId="15" fillId="5" borderId="1" xfId="941" applyNumberFormat="1" applyFont="1" applyFill="1" applyBorder="1" applyAlignment="1">
      <alignment horizontal="center"/>
    </xf>
    <xf numFmtId="0" fontId="20" fillId="0" borderId="2" xfId="0" applyFont="1" applyFill="1" applyBorder="1"/>
    <xf numFmtId="0" fontId="15" fillId="0" borderId="1" xfId="0" applyFont="1" applyFill="1" applyBorder="1" applyAlignment="1"/>
    <xf numFmtId="167" fontId="20" fillId="0" borderId="1" xfId="941" applyNumberFormat="1" applyFont="1" applyFill="1" applyBorder="1" applyAlignment="1">
      <alignment wrapText="1"/>
    </xf>
    <xf numFmtId="43" fontId="20" fillId="0" borderId="1" xfId="17" applyNumberFormat="1" applyFont="1" applyBorder="1"/>
    <xf numFmtId="0" fontId="20" fillId="0" borderId="3" xfId="0" applyFont="1" applyFill="1" applyBorder="1" applyAlignment="1">
      <alignment horizontal="left" vertical="center"/>
    </xf>
    <xf numFmtId="0" fontId="3" fillId="0" borderId="3" xfId="0" applyFont="1" applyFill="1" applyBorder="1"/>
    <xf numFmtId="167" fontId="3" fillId="0" borderId="3" xfId="941" applyNumberFormat="1" applyFont="1" applyFill="1" applyBorder="1"/>
    <xf numFmtId="0" fontId="3" fillId="0" borderId="3" xfId="941" applyNumberFormat="1" applyFont="1" applyFill="1" applyBorder="1" applyAlignment="1">
      <alignment horizontal="center"/>
    </xf>
    <xf numFmtId="43" fontId="20" fillId="0" borderId="3" xfId="17" applyNumberFormat="1" applyFont="1" applyFill="1" applyBorder="1"/>
    <xf numFmtId="0" fontId="3" fillId="0" borderId="6" xfId="0" applyFont="1" applyFill="1" applyBorder="1"/>
    <xf numFmtId="167" fontId="3" fillId="0" borderId="6" xfId="941" applyNumberFormat="1" applyFont="1" applyFill="1" applyBorder="1" applyAlignment="1">
      <alignment horizontal="right"/>
    </xf>
    <xf numFmtId="0" fontId="3" fillId="0" borderId="6" xfId="941" quotePrefix="1" applyNumberFormat="1" applyFont="1" applyFill="1" applyBorder="1" applyAlignment="1">
      <alignment horizontal="center" wrapText="1"/>
    </xf>
    <xf numFmtId="43" fontId="16" fillId="0" borderId="1" xfId="6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right"/>
    </xf>
    <xf numFmtId="43" fontId="19" fillId="9" borderId="1" xfId="5" applyFont="1" applyFill="1" applyBorder="1"/>
    <xf numFmtId="14" fontId="3" fillId="0" borderId="0" xfId="0" applyNumberFormat="1" applyFont="1" applyFill="1" applyAlignment="1">
      <alignment horizontal="right"/>
    </xf>
    <xf numFmtId="43" fontId="16" fillId="0" borderId="1" xfId="5" applyNumberFormat="1" applyFont="1" applyFill="1" applyBorder="1" applyAlignment="1">
      <alignment horizontal="center"/>
    </xf>
    <xf numFmtId="0" fontId="18" fillId="0" borderId="3" xfId="0" applyFont="1" applyFill="1" applyBorder="1" applyAlignment="1">
      <alignment wrapText="1"/>
    </xf>
    <xf numFmtId="43" fontId="3" fillId="0" borderId="1" xfId="941" applyNumberFormat="1" applyFont="1" applyFill="1" applyBorder="1"/>
    <xf numFmtId="43" fontId="1" fillId="0" borderId="1" xfId="941" applyNumberFormat="1" applyFont="1" applyFill="1" applyBorder="1" applyAlignment="1">
      <alignment horizontal="right"/>
    </xf>
    <xf numFmtId="0" fontId="20" fillId="0" borderId="3" xfId="0" applyFont="1" applyFill="1" applyBorder="1" applyAlignment="1">
      <alignment wrapText="1"/>
    </xf>
    <xf numFmtId="0" fontId="18" fillId="0" borderId="3" xfId="0" applyFont="1" applyFill="1" applyBorder="1" applyAlignment="1">
      <alignment horizontal="right" wrapText="1"/>
    </xf>
    <xf numFmtId="43" fontId="16" fillId="0" borderId="3" xfId="941" applyNumberFormat="1" applyFont="1" applyFill="1" applyBorder="1" applyAlignment="1">
      <alignment horizontal="center"/>
    </xf>
    <xf numFmtId="0" fontId="23" fillId="0" borderId="6" xfId="0" applyFont="1" applyFill="1" applyBorder="1" applyAlignment="1">
      <alignment wrapText="1"/>
    </xf>
    <xf numFmtId="43" fontId="16" fillId="0" borderId="1" xfId="941" applyNumberFormat="1" applyFont="1" applyFill="1" applyBorder="1" applyAlignment="1">
      <alignment horizontal="center"/>
    </xf>
    <xf numFmtId="0" fontId="1" fillId="0" borderId="1" xfId="941" applyNumberFormat="1" applyFont="1" applyFill="1" applyBorder="1" applyAlignment="1">
      <alignment horizontal="center"/>
    </xf>
    <xf numFmtId="43" fontId="20" fillId="0" borderId="1" xfId="941" applyNumberFormat="1" applyFont="1" applyFill="1" applyBorder="1"/>
    <xf numFmtId="0" fontId="18" fillId="0" borderId="6" xfId="0" applyFont="1" applyFill="1" applyBorder="1" applyAlignment="1">
      <alignment horizontal="right" wrapText="1"/>
    </xf>
    <xf numFmtId="0" fontId="0" fillId="3" borderId="1" xfId="0" applyFont="1" applyFill="1" applyBorder="1" applyAlignment="1">
      <alignment horizontal="left" vertical="center"/>
    </xf>
    <xf numFmtId="0" fontId="3" fillId="3" borderId="1" xfId="0" applyFont="1" applyFill="1" applyBorder="1"/>
    <xf numFmtId="0" fontId="0" fillId="3" borderId="1" xfId="0" applyFont="1" applyFill="1" applyBorder="1"/>
    <xf numFmtId="0" fontId="3" fillId="3" borderId="3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44" fontId="0" fillId="3" borderId="1" xfId="17" applyFont="1" applyFill="1" applyBorder="1"/>
    <xf numFmtId="14" fontId="1" fillId="3" borderId="1" xfId="0" applyNumberFormat="1" applyFont="1" applyFill="1" applyBorder="1"/>
    <xf numFmtId="0" fontId="0" fillId="3" borderId="3" xfId="0" applyFont="1" applyFill="1" applyBorder="1" applyAlignment="1"/>
    <xf numFmtId="43" fontId="0" fillId="3" borderId="1" xfId="1" applyFont="1" applyFill="1" applyBorder="1" applyAlignment="1">
      <alignment horizontal="right"/>
    </xf>
    <xf numFmtId="0" fontId="0" fillId="3" borderId="1" xfId="0" quotePrefix="1" applyFont="1" applyFill="1" applyBorder="1" applyAlignment="1">
      <alignment horizontal="center"/>
    </xf>
    <xf numFmtId="0" fontId="3" fillId="3" borderId="1" xfId="0" applyFont="1" applyFill="1" applyBorder="1" applyAlignment="1">
      <alignment horizontal="right" vertical="center"/>
    </xf>
    <xf numFmtId="43" fontId="3" fillId="3" borderId="1" xfId="1" applyFont="1" applyFill="1" applyBorder="1"/>
    <xf numFmtId="14" fontId="1" fillId="3" borderId="1" xfId="0" applyNumberFormat="1" applyFont="1" applyFill="1" applyBorder="1" applyAlignment="1">
      <alignment horizontal="right"/>
    </xf>
    <xf numFmtId="0" fontId="21" fillId="3" borderId="1" xfId="0" applyFont="1" applyFill="1" applyBorder="1" applyAlignment="1">
      <alignment vertical="center"/>
    </xf>
    <xf numFmtId="0" fontId="22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wrapText="1"/>
    </xf>
    <xf numFmtId="43" fontId="3" fillId="3" borderId="1" xfId="21" applyFont="1" applyFill="1" applyBorder="1" applyAlignment="1">
      <alignment horizontal="right"/>
    </xf>
    <xf numFmtId="0" fontId="1" fillId="3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166" fontId="3" fillId="3" borderId="1" xfId="4" applyFont="1" applyFill="1" applyBorder="1"/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vertical="center"/>
    </xf>
    <xf numFmtId="41" fontId="3" fillId="3" borderId="1" xfId="941" applyFont="1" applyFill="1" applyBorder="1"/>
    <xf numFmtId="43" fontId="3" fillId="3" borderId="1" xfId="5" applyFont="1" applyFill="1" applyBorder="1"/>
    <xf numFmtId="0" fontId="26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/>
    </xf>
    <xf numFmtId="167" fontId="1" fillId="3" borderId="1" xfId="941" applyNumberFormat="1" applyFont="1" applyFill="1" applyBorder="1" applyAlignment="1">
      <alignment horizontal="right"/>
    </xf>
    <xf numFmtId="43" fontId="1" fillId="3" borderId="1" xfId="1" applyNumberFormat="1" applyFont="1" applyFill="1" applyBorder="1" applyAlignment="1">
      <alignment horizontal="right"/>
    </xf>
    <xf numFmtId="0" fontId="20" fillId="3" borderId="1" xfId="0" applyFont="1" applyFill="1" applyBorder="1" applyAlignment="1">
      <alignment horizontal="left" vertical="center"/>
    </xf>
    <xf numFmtId="0" fontId="20" fillId="3" borderId="1" xfId="0" applyFont="1" applyFill="1" applyBorder="1"/>
    <xf numFmtId="0" fontId="20" fillId="3" borderId="1" xfId="0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right" vertical="center"/>
    </xf>
    <xf numFmtId="43" fontId="1" fillId="3" borderId="1" xfId="1" applyFont="1" applyFill="1" applyBorder="1" applyAlignment="1">
      <alignment horizontal="right"/>
    </xf>
    <xf numFmtId="44" fontId="20" fillId="3" borderId="1" xfId="17" applyFont="1" applyFill="1" applyBorder="1"/>
    <xf numFmtId="14" fontId="1" fillId="3" borderId="1" xfId="1" applyNumberFormat="1" applyFont="1" applyFill="1" applyBorder="1" applyAlignment="1">
      <alignment horizontal="right"/>
    </xf>
    <xf numFmtId="0" fontId="23" fillId="3" borderId="1" xfId="0" applyFont="1" applyFill="1" applyBorder="1" applyAlignment="1">
      <alignment wrapText="1"/>
    </xf>
    <xf numFmtId="0" fontId="20" fillId="3" borderId="1" xfId="0" applyFont="1" applyFill="1" applyBorder="1" applyAlignment="1">
      <alignment wrapText="1"/>
    </xf>
    <xf numFmtId="0" fontId="18" fillId="3" borderId="1" xfId="0" applyFont="1" applyFill="1" applyBorder="1" applyAlignment="1">
      <alignment wrapText="1"/>
    </xf>
    <xf numFmtId="167" fontId="3" fillId="3" borderId="1" xfId="941" applyNumberFormat="1" applyFont="1" applyFill="1" applyBorder="1"/>
    <xf numFmtId="0" fontId="3" fillId="3" borderId="1" xfId="941" applyNumberFormat="1" applyFont="1" applyFill="1" applyBorder="1" applyAlignment="1">
      <alignment horizontal="center"/>
    </xf>
    <xf numFmtId="43" fontId="3" fillId="3" borderId="1" xfId="0" applyNumberFormat="1" applyFont="1" applyFill="1" applyBorder="1"/>
    <xf numFmtId="0" fontId="1" fillId="3" borderId="0" xfId="0" applyFont="1" applyFill="1"/>
    <xf numFmtId="0" fontId="18" fillId="3" borderId="1" xfId="0" applyFont="1" applyFill="1" applyBorder="1" applyAlignment="1">
      <alignment horizontal="right" wrapText="1"/>
    </xf>
    <xf numFmtId="43" fontId="16" fillId="3" borderId="1" xfId="5" applyFont="1" applyFill="1" applyBorder="1" applyAlignment="1">
      <alignment horizontal="center"/>
    </xf>
    <xf numFmtId="0" fontId="1" fillId="3" borderId="1" xfId="0" quotePrefix="1" applyFont="1" applyFill="1" applyBorder="1" applyAlignment="1">
      <alignment horizontal="center" wrapText="1"/>
    </xf>
    <xf numFmtId="0" fontId="21" fillId="3" borderId="3" xfId="0" applyFont="1" applyFill="1" applyBorder="1" applyAlignment="1">
      <alignment vertical="center"/>
    </xf>
    <xf numFmtId="0" fontId="3" fillId="3" borderId="3" xfId="0" applyFont="1" applyFill="1" applyBorder="1"/>
    <xf numFmtId="167" fontId="3" fillId="3" borderId="3" xfId="941" applyNumberFormat="1" applyFont="1" applyFill="1" applyBorder="1"/>
    <xf numFmtId="0" fontId="3" fillId="3" borderId="3" xfId="941" applyNumberFormat="1" applyFont="1" applyFill="1" applyBorder="1" applyAlignment="1">
      <alignment horizontal="center"/>
    </xf>
    <xf numFmtId="0" fontId="19" fillId="3" borderId="1" xfId="0" applyFont="1" applyFill="1" applyBorder="1" applyAlignment="1">
      <alignment wrapText="1"/>
    </xf>
    <xf numFmtId="43" fontId="19" fillId="3" borderId="1" xfId="5" applyFont="1" applyFill="1" applyBorder="1"/>
    <xf numFmtId="167" fontId="3" fillId="3" borderId="1" xfId="941" applyNumberFormat="1" applyFont="1" applyFill="1" applyBorder="1" applyAlignment="1">
      <alignment horizontal="right"/>
    </xf>
    <xf numFmtId="43" fontId="16" fillId="3" borderId="1" xfId="5" applyNumberFormat="1" applyFont="1" applyFill="1" applyBorder="1" applyAlignment="1">
      <alignment horizontal="center"/>
    </xf>
    <xf numFmtId="15" fontId="3" fillId="3" borderId="1" xfId="0" applyNumberFormat="1" applyFont="1" applyFill="1" applyBorder="1" applyAlignment="1">
      <alignment horizontal="right"/>
    </xf>
    <xf numFmtId="44" fontId="21" fillId="3" borderId="1" xfId="17" applyFont="1" applyFill="1" applyBorder="1"/>
    <xf numFmtId="0" fontId="3" fillId="3" borderId="1" xfId="941" applyNumberFormat="1" applyFont="1" applyFill="1" applyBorder="1" applyAlignment="1">
      <alignment horizontal="center" wrapText="1"/>
    </xf>
    <xf numFmtId="0" fontId="3" fillId="3" borderId="7" xfId="0" applyFont="1" applyFill="1" applyBorder="1"/>
    <xf numFmtId="0" fontId="21" fillId="3" borderId="1" xfId="0" applyFont="1" applyFill="1" applyBorder="1" applyAlignment="1">
      <alignment horizontal="right" vertical="center"/>
    </xf>
    <xf numFmtId="0" fontId="20" fillId="3" borderId="3" xfId="0" applyFont="1" applyFill="1" applyBorder="1" applyAlignment="1">
      <alignment horizontal="left" vertical="center"/>
    </xf>
    <xf numFmtId="15" fontId="3" fillId="3" borderId="3" xfId="0" applyNumberFormat="1" applyFont="1" applyFill="1" applyBorder="1"/>
    <xf numFmtId="44" fontId="20" fillId="3" borderId="3" xfId="17" applyFont="1" applyFill="1" applyBorder="1"/>
    <xf numFmtId="0" fontId="20" fillId="3" borderId="3" xfId="0" applyFont="1" applyFill="1" applyBorder="1" applyAlignment="1">
      <alignment wrapText="1"/>
    </xf>
    <xf numFmtId="0" fontId="18" fillId="3" borderId="3" xfId="0" applyFont="1" applyFill="1" applyBorder="1" applyAlignment="1">
      <alignment horizontal="right" wrapText="1"/>
    </xf>
    <xf numFmtId="0" fontId="3" fillId="3" borderId="3" xfId="0" applyFont="1" applyFill="1" applyBorder="1" applyAlignment="1">
      <alignment horizontal="right"/>
    </xf>
    <xf numFmtId="43" fontId="3" fillId="3" borderId="3" xfId="1" applyFont="1" applyFill="1" applyBorder="1"/>
    <xf numFmtId="0" fontId="3" fillId="3" borderId="3" xfId="0" quotePrefix="1" applyFont="1" applyFill="1" applyBorder="1" applyAlignment="1">
      <alignment horizontal="center"/>
    </xf>
    <xf numFmtId="165" fontId="16" fillId="3" borderId="1" xfId="6" applyFont="1" applyFill="1" applyBorder="1" applyAlignment="1">
      <alignment horizontal="center"/>
    </xf>
    <xf numFmtId="43" fontId="1" fillId="3" borderId="1" xfId="1" applyFont="1" applyFill="1" applyBorder="1"/>
    <xf numFmtId="0" fontId="18" fillId="3" borderId="6" xfId="0" applyFont="1" applyFill="1" applyBorder="1" applyAlignment="1">
      <alignment horizontal="right" wrapText="1"/>
    </xf>
    <xf numFmtId="0" fontId="21" fillId="3" borderId="1" xfId="0" applyFont="1" applyFill="1" applyBorder="1" applyAlignment="1">
      <alignment wrapText="1"/>
    </xf>
    <xf numFmtId="43" fontId="1" fillId="7" borderId="0" xfId="1" applyFont="1" applyFill="1" applyAlignment="1">
      <alignment horizontal="right"/>
    </xf>
    <xf numFmtId="165" fontId="19" fillId="7" borderId="1" xfId="6" applyFont="1" applyFill="1" applyBorder="1"/>
    <xf numFmtId="43" fontId="1" fillId="7" borderId="1" xfId="1" applyFont="1" applyFill="1" applyBorder="1"/>
    <xf numFmtId="43" fontId="3" fillId="7" borderId="5" xfId="1" applyFont="1" applyFill="1" applyBorder="1"/>
    <xf numFmtId="0" fontId="3" fillId="7" borderId="1" xfId="0" applyFont="1" applyFill="1" applyBorder="1" applyAlignment="1">
      <alignment horizontal="center" wrapText="1"/>
    </xf>
    <xf numFmtId="0" fontId="0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/>
    </xf>
    <xf numFmtId="0" fontId="20" fillId="7" borderId="1" xfId="0" applyFont="1" applyFill="1" applyBorder="1" applyAlignment="1">
      <alignment horizontal="right" vertical="center"/>
    </xf>
    <xf numFmtId="0" fontId="10" fillId="7" borderId="1" xfId="0" applyFont="1" applyFill="1" applyBorder="1" applyAlignment="1">
      <alignment horizontal="right"/>
    </xf>
    <xf numFmtId="0" fontId="0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right" vertical="center"/>
    </xf>
    <xf numFmtId="1" fontId="3" fillId="7" borderId="1" xfId="0" applyNumberFormat="1" applyFont="1" applyFill="1" applyBorder="1" applyAlignment="1">
      <alignment horizontal="center" wrapText="1"/>
    </xf>
    <xf numFmtId="43" fontId="3" fillId="7" borderId="1" xfId="5" applyFont="1" applyFill="1" applyBorder="1"/>
    <xf numFmtId="0" fontId="3" fillId="7" borderId="1" xfId="0" applyFont="1" applyFill="1" applyBorder="1" applyAlignment="1">
      <alignment horizontal="right" wrapText="1"/>
    </xf>
    <xf numFmtId="43" fontId="3" fillId="7" borderId="1" xfId="5" applyFont="1" applyFill="1" applyBorder="1" applyAlignment="1">
      <alignment horizontal="center"/>
    </xf>
    <xf numFmtId="0" fontId="3" fillId="7" borderId="6" xfId="0" applyFont="1" applyFill="1" applyBorder="1" applyAlignment="1">
      <alignment wrapText="1"/>
    </xf>
    <xf numFmtId="0" fontId="3" fillId="7" borderId="7" xfId="0" applyFont="1" applyFill="1" applyBorder="1"/>
    <xf numFmtId="43" fontId="3" fillId="7" borderId="6" xfId="5" applyFont="1" applyFill="1" applyBorder="1"/>
    <xf numFmtId="0" fontId="3" fillId="7" borderId="6" xfId="0" applyFont="1" applyFill="1" applyBorder="1" applyAlignment="1">
      <alignment horizontal="right" wrapText="1"/>
    </xf>
    <xf numFmtId="0" fontId="26" fillId="7" borderId="1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right" vertical="center"/>
    </xf>
    <xf numFmtId="0" fontId="16" fillId="7" borderId="1" xfId="0" applyFont="1" applyFill="1" applyBorder="1" applyAlignment="1">
      <alignment horizontal="right"/>
    </xf>
    <xf numFmtId="166" fontId="26" fillId="7" borderId="1" xfId="4" applyFont="1" applyFill="1" applyBorder="1"/>
    <xf numFmtId="0" fontId="21" fillId="7" borderId="1" xfId="0" applyFont="1" applyFill="1" applyBorder="1" applyAlignment="1">
      <alignment horizontal="right" wrapText="1"/>
    </xf>
    <xf numFmtId="15" fontId="16" fillId="7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0" fontId="26" fillId="7" borderId="1" xfId="0" applyFont="1" applyFill="1" applyBorder="1" applyAlignment="1">
      <alignment horizontal="center"/>
    </xf>
    <xf numFmtId="0" fontId="16" fillId="7" borderId="1" xfId="0" applyFont="1" applyFill="1" applyBorder="1" applyAlignment="1">
      <alignment vertical="center"/>
    </xf>
    <xf numFmtId="0" fontId="26" fillId="7" borderId="1" xfId="0" applyFont="1" applyFill="1" applyBorder="1" applyAlignment="1">
      <alignment horizontal="right"/>
    </xf>
    <xf numFmtId="0" fontId="26" fillId="7" borderId="7" xfId="0" applyFont="1" applyFill="1" applyBorder="1"/>
    <xf numFmtId="0" fontId="26" fillId="7" borderId="1" xfId="0" quotePrefix="1" applyFont="1" applyFill="1" applyBorder="1" applyAlignment="1">
      <alignment horizontal="center"/>
    </xf>
    <xf numFmtId="44" fontId="26" fillId="7" borderId="1" xfId="17" applyFont="1" applyFill="1" applyBorder="1"/>
    <xf numFmtId="0" fontId="16" fillId="7" borderId="1" xfId="0" applyFont="1" applyFill="1" applyBorder="1"/>
    <xf numFmtId="0" fontId="16" fillId="7" borderId="1" xfId="0" quotePrefix="1" applyFont="1" applyFill="1" applyBorder="1" applyAlignment="1">
      <alignment horizontal="center"/>
    </xf>
    <xf numFmtId="166" fontId="20" fillId="7" borderId="1" xfId="4" applyFont="1" applyFill="1" applyBorder="1"/>
    <xf numFmtId="0" fontId="20" fillId="7" borderId="1" xfId="0" applyFont="1" applyFill="1" applyBorder="1" applyAlignment="1">
      <alignment wrapText="1"/>
    </xf>
    <xf numFmtId="0" fontId="18" fillId="7" borderId="1" xfId="0" applyFont="1" applyFill="1" applyBorder="1" applyAlignment="1">
      <alignment wrapText="1"/>
    </xf>
    <xf numFmtId="0" fontId="26" fillId="7" borderId="0" xfId="0" applyFont="1" applyFill="1"/>
    <xf numFmtId="43" fontId="16" fillId="7" borderId="5" xfId="1" applyFont="1" applyFill="1" applyBorder="1"/>
    <xf numFmtId="0" fontId="33" fillId="7" borderId="1" xfId="0" applyFont="1" applyFill="1" applyBorder="1" applyAlignment="1">
      <alignment horizontal="right" wrapText="1"/>
    </xf>
    <xf numFmtId="0" fontId="3" fillId="7" borderId="1" xfId="0" quotePrefix="1" applyFont="1" applyFill="1" applyBorder="1" applyAlignment="1">
      <alignment horizontal="center" wrapText="1"/>
    </xf>
    <xf numFmtId="0" fontId="1" fillId="7" borderId="2" xfId="0" applyFont="1" applyFill="1" applyBorder="1" applyAlignment="1">
      <alignment wrapText="1"/>
    </xf>
    <xf numFmtId="165" fontId="1" fillId="7" borderId="1" xfId="6" applyFont="1" applyFill="1" applyBorder="1" applyAlignment="1">
      <alignment horizontal="right"/>
    </xf>
    <xf numFmtId="0" fontId="0" fillId="7" borderId="2" xfId="0" applyFont="1" applyFill="1" applyBorder="1" applyAlignment="1">
      <alignment wrapText="1"/>
    </xf>
    <xf numFmtId="167" fontId="1" fillId="7" borderId="1" xfId="941" applyNumberFormat="1" applyFont="1" applyFill="1" applyBorder="1" applyAlignment="1">
      <alignment horizontal="right"/>
    </xf>
    <xf numFmtId="0" fontId="26" fillId="7" borderId="2" xfId="0" applyFont="1" applyFill="1" applyBorder="1" applyAlignment="1">
      <alignment wrapText="1"/>
    </xf>
    <xf numFmtId="2" fontId="26" fillId="7" borderId="1" xfId="0" applyNumberFormat="1" applyFont="1" applyFill="1" applyBorder="1"/>
    <xf numFmtId="0" fontId="16" fillId="7" borderId="3" xfId="0" applyFont="1" applyFill="1" applyBorder="1" applyAlignment="1">
      <alignment horizontal="right" wrapText="1"/>
    </xf>
    <xf numFmtId="43" fontId="32" fillId="7" borderId="1" xfId="1" applyFont="1" applyFill="1" applyBorder="1"/>
    <xf numFmtId="43" fontId="16" fillId="7" borderId="1" xfId="5" applyFont="1" applyFill="1" applyBorder="1"/>
    <xf numFmtId="0" fontId="16" fillId="7" borderId="6" xfId="0" quotePrefix="1" applyFont="1" applyFill="1" applyBorder="1" applyAlignment="1">
      <alignment horizontal="center"/>
    </xf>
    <xf numFmtId="0" fontId="19" fillId="7" borderId="1" xfId="0" applyFont="1" applyFill="1" applyBorder="1" applyAlignment="1">
      <alignment wrapText="1"/>
    </xf>
    <xf numFmtId="43" fontId="1" fillId="7" borderId="3" xfId="1" applyFont="1" applyFill="1" applyBorder="1"/>
    <xf numFmtId="43" fontId="3" fillId="7" borderId="3" xfId="1" applyFont="1" applyFill="1" applyBorder="1"/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left" vertical="center"/>
    </xf>
    <xf numFmtId="43" fontId="0" fillId="7" borderId="1" xfId="1" applyFont="1" applyFill="1" applyBorder="1"/>
    <xf numFmtId="166" fontId="3" fillId="7" borderId="1" xfId="4" applyFont="1" applyFill="1" applyBorder="1"/>
    <xf numFmtId="0" fontId="21" fillId="7" borderId="2" xfId="0" applyFont="1" applyFill="1" applyBorder="1" applyAlignment="1">
      <alignment horizontal="left" vertical="center"/>
    </xf>
    <xf numFmtId="14" fontId="0" fillId="0" borderId="1" xfId="0" applyNumberFormat="1" applyFont="1" applyFill="1" applyBorder="1"/>
    <xf numFmtId="43" fontId="14" fillId="0" borderId="0" xfId="1" applyNumberFormat="1" applyFont="1" applyFill="1" applyAlignment="1">
      <alignment horizontal="center"/>
    </xf>
    <xf numFmtId="0" fontId="5" fillId="0" borderId="0" xfId="0" applyFont="1" applyAlignment="1" applyProtection="1">
      <alignment horizontal="center"/>
      <protection hidden="1"/>
    </xf>
    <xf numFmtId="0" fontId="2" fillId="0" borderId="4" xfId="0" applyFont="1" applyBorder="1" applyAlignment="1">
      <alignment horizontal="center"/>
    </xf>
    <xf numFmtId="0" fontId="3" fillId="0" borderId="1" xfId="941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right"/>
    </xf>
    <xf numFmtId="0" fontId="15" fillId="0" borderId="7" xfId="0" applyFont="1" applyFill="1" applyBorder="1" applyAlignment="1">
      <alignment horizontal="right"/>
    </xf>
    <xf numFmtId="0" fontId="15" fillId="0" borderId="6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right" wrapText="1"/>
    </xf>
    <xf numFmtId="0" fontId="15" fillId="0" borderId="6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right" wrapText="1"/>
    </xf>
    <xf numFmtId="0" fontId="26" fillId="7" borderId="3" xfId="0" applyFont="1" applyFill="1" applyBorder="1" applyAlignment="1">
      <alignment horizontal="left"/>
    </xf>
    <xf numFmtId="0" fontId="26" fillId="7" borderId="6" xfId="0" applyFont="1" applyFill="1" applyBorder="1" applyAlignment="1">
      <alignment horizontal="left"/>
    </xf>
    <xf numFmtId="0" fontId="26" fillId="7" borderId="3" xfId="0" quotePrefix="1" applyFont="1" applyFill="1" applyBorder="1" applyAlignment="1">
      <alignment horizontal="center"/>
    </xf>
    <xf numFmtId="0" fontId="26" fillId="7" borderId="6" xfId="0" quotePrefix="1" applyFont="1" applyFill="1" applyBorder="1" applyAlignment="1">
      <alignment horizontal="center"/>
    </xf>
    <xf numFmtId="0" fontId="1" fillId="7" borderId="1" xfId="0" applyFont="1" applyFill="1" applyBorder="1" applyAlignment="1">
      <alignment horizontal="right"/>
    </xf>
    <xf numFmtId="0" fontId="1" fillId="7" borderId="1" xfId="0" applyFont="1" applyFill="1" applyBorder="1" applyAlignment="1">
      <alignment horizontal="left"/>
    </xf>
    <xf numFmtId="0" fontId="3" fillId="7" borderId="1" xfId="0" quotePrefix="1" applyFont="1" applyFill="1" applyBorder="1" applyAlignment="1">
      <alignment horizontal="center"/>
    </xf>
    <xf numFmtId="0" fontId="26" fillId="7" borderId="1" xfId="0" applyFont="1" applyFill="1" applyBorder="1" applyAlignment="1">
      <alignment horizontal="right"/>
    </xf>
    <xf numFmtId="15" fontId="16" fillId="7" borderId="1" xfId="0" applyNumberFormat="1" applyFont="1" applyFill="1" applyBorder="1" applyAlignment="1">
      <alignment horizontal="right"/>
    </xf>
    <xf numFmtId="0" fontId="26" fillId="7" borderId="1" xfId="0" applyFont="1" applyFill="1" applyBorder="1" applyAlignment="1">
      <alignment horizontal="left" wrapText="1"/>
    </xf>
    <xf numFmtId="0" fontId="16" fillId="7" borderId="1" xfId="0" quotePrefix="1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right"/>
    </xf>
    <xf numFmtId="0" fontId="3" fillId="7" borderId="6" xfId="0" applyFont="1" applyFill="1" applyBorder="1" applyAlignment="1">
      <alignment horizontal="right"/>
    </xf>
    <xf numFmtId="15" fontId="3" fillId="7" borderId="3" xfId="0" applyNumberFormat="1" applyFont="1" applyFill="1" applyBorder="1" applyAlignment="1">
      <alignment horizontal="right"/>
    </xf>
    <xf numFmtId="15" fontId="3" fillId="7" borderId="6" xfId="0" applyNumberFormat="1" applyFont="1" applyFill="1" applyBorder="1" applyAlignment="1">
      <alignment horizontal="right"/>
    </xf>
    <xf numFmtId="0" fontId="21" fillId="7" borderId="3" xfId="0" applyFont="1" applyFill="1" applyBorder="1" applyAlignment="1">
      <alignment horizontal="left" vertical="center"/>
    </xf>
    <xf numFmtId="0" fontId="21" fillId="7" borderId="6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15" fillId="0" borderId="3" xfId="0" applyFont="1" applyFill="1" applyBorder="1" applyAlignment="1"/>
    <xf numFmtId="0" fontId="15" fillId="0" borderId="6" xfId="0" applyFont="1" applyFill="1" applyBorder="1" applyAlignment="1"/>
  </cellXfs>
  <cellStyles count="3509">
    <cellStyle name="Hipervínculo" xfId="2" builtinId="8"/>
    <cellStyle name="Hipervínculo 2" xfId="3"/>
    <cellStyle name="Hipervínculo 2 2" xfId="8"/>
    <cellStyle name="Millares" xfId="1" builtinId="3"/>
    <cellStyle name="Millares [0]" xfId="941" builtinId="6"/>
    <cellStyle name="Millares [0] 10" xfId="125"/>
    <cellStyle name="Millares [0] 10 2" xfId="1041"/>
    <cellStyle name="Millares [0] 11" xfId="260"/>
    <cellStyle name="Millares [0] 11 2" xfId="1176"/>
    <cellStyle name="Millares [0] 12" xfId="395"/>
    <cellStyle name="Millares [0] 12 2" xfId="1311"/>
    <cellStyle name="Millares [0] 13" xfId="528"/>
    <cellStyle name="Millares [0] 13 2" xfId="1444"/>
    <cellStyle name="Millares [0] 14" xfId="664"/>
    <cellStyle name="Millares [0] 14 2" xfId="1580"/>
    <cellStyle name="Millares [0] 15" xfId="804"/>
    <cellStyle name="Millares [0] 15 2" xfId="1720"/>
    <cellStyle name="Millares [0] 16" xfId="30"/>
    <cellStyle name="Millares [0] 16 2" xfId="1854"/>
    <cellStyle name="Millares [0] 17" xfId="1992"/>
    <cellStyle name="Millares [0] 18" xfId="2130"/>
    <cellStyle name="Millares [0] 19" xfId="2271"/>
    <cellStyle name="Millares [0] 2" xfId="14"/>
    <cellStyle name="Millares [0] 2 10" xfId="529"/>
    <cellStyle name="Millares [0] 2 10 2" xfId="1445"/>
    <cellStyle name="Millares [0] 2 11" xfId="665"/>
    <cellStyle name="Millares [0] 2 11 2" xfId="1581"/>
    <cellStyle name="Millares [0] 2 12" xfId="805"/>
    <cellStyle name="Millares [0] 2 12 2" xfId="1721"/>
    <cellStyle name="Millares [0] 2 13" xfId="36"/>
    <cellStyle name="Millares [0] 2 13 2" xfId="1855"/>
    <cellStyle name="Millares [0] 2 14" xfId="1993"/>
    <cellStyle name="Millares [0] 2 15" xfId="2131"/>
    <cellStyle name="Millares [0] 2 16" xfId="2272"/>
    <cellStyle name="Millares [0] 2 17" xfId="2409"/>
    <cellStyle name="Millares [0] 2 18" xfId="2548"/>
    <cellStyle name="Millares [0] 2 19" xfId="2682"/>
    <cellStyle name="Millares [0] 2 2" xfId="46"/>
    <cellStyle name="Millares [0] 2 2 10" xfId="806"/>
    <cellStyle name="Millares [0] 2 2 10 2" xfId="1722"/>
    <cellStyle name="Millares [0] 2 2 11" xfId="1856"/>
    <cellStyle name="Millares [0] 2 2 12" xfId="1994"/>
    <cellStyle name="Millares [0] 2 2 13" xfId="2132"/>
    <cellStyle name="Millares [0] 2 2 14" xfId="2273"/>
    <cellStyle name="Millares [0] 2 2 15" xfId="2410"/>
    <cellStyle name="Millares [0] 2 2 16" xfId="2549"/>
    <cellStyle name="Millares [0] 2 2 17" xfId="2683"/>
    <cellStyle name="Millares [0] 2 2 18" xfId="2818"/>
    <cellStyle name="Millares [0] 2 2 19" xfId="2954"/>
    <cellStyle name="Millares [0] 2 2 2" xfId="103"/>
    <cellStyle name="Millares [0] 2 2 2 10" xfId="2133"/>
    <cellStyle name="Millares [0] 2 2 2 11" xfId="2274"/>
    <cellStyle name="Millares [0] 2 2 2 12" xfId="2411"/>
    <cellStyle name="Millares [0] 2 2 2 13" xfId="2550"/>
    <cellStyle name="Millares [0] 2 2 2 14" xfId="2684"/>
    <cellStyle name="Millares [0] 2 2 2 15" xfId="2819"/>
    <cellStyle name="Millares [0] 2 2 2 16" xfId="2955"/>
    <cellStyle name="Millares [0] 2 2 2 17" xfId="3091"/>
    <cellStyle name="Millares [0] 2 2 2 18" xfId="3226"/>
    <cellStyle name="Millares [0] 2 2 2 19" xfId="3369"/>
    <cellStyle name="Millares [0] 2 2 2 2" xfId="128"/>
    <cellStyle name="Millares [0] 2 2 2 2 2" xfId="1044"/>
    <cellStyle name="Millares [0] 2 2 2 20" xfId="1019"/>
    <cellStyle name="Millares [0] 2 2 2 3" xfId="263"/>
    <cellStyle name="Millares [0] 2 2 2 3 2" xfId="1179"/>
    <cellStyle name="Millares [0] 2 2 2 4" xfId="398"/>
    <cellStyle name="Millares [0] 2 2 2 4 2" xfId="1314"/>
    <cellStyle name="Millares [0] 2 2 2 5" xfId="531"/>
    <cellStyle name="Millares [0] 2 2 2 5 2" xfId="1447"/>
    <cellStyle name="Millares [0] 2 2 2 6" xfId="667"/>
    <cellStyle name="Millares [0] 2 2 2 6 2" xfId="1583"/>
    <cellStyle name="Millares [0] 2 2 2 7" xfId="807"/>
    <cellStyle name="Millares [0] 2 2 2 7 2" xfId="1723"/>
    <cellStyle name="Millares [0] 2 2 2 8" xfId="1857"/>
    <cellStyle name="Millares [0] 2 2 2 9" xfId="1995"/>
    <cellStyle name="Millares [0] 2 2 20" xfId="3090"/>
    <cellStyle name="Millares [0] 2 2 21" xfId="3225"/>
    <cellStyle name="Millares [0] 2 2 22" xfId="3368"/>
    <cellStyle name="Millares [0] 2 2 23" xfId="962"/>
    <cellStyle name="Millares [0] 2 2 3" xfId="77"/>
    <cellStyle name="Millares [0] 2 2 3 10" xfId="2134"/>
    <cellStyle name="Millares [0] 2 2 3 11" xfId="2275"/>
    <cellStyle name="Millares [0] 2 2 3 12" xfId="2412"/>
    <cellStyle name="Millares [0] 2 2 3 13" xfId="2551"/>
    <cellStyle name="Millares [0] 2 2 3 14" xfId="2685"/>
    <cellStyle name="Millares [0] 2 2 3 15" xfId="2820"/>
    <cellStyle name="Millares [0] 2 2 3 16" xfId="2956"/>
    <cellStyle name="Millares [0] 2 2 3 17" xfId="3092"/>
    <cellStyle name="Millares [0] 2 2 3 18" xfId="3227"/>
    <cellStyle name="Millares [0] 2 2 3 19" xfId="3370"/>
    <cellStyle name="Millares [0] 2 2 3 2" xfId="129"/>
    <cellStyle name="Millares [0] 2 2 3 2 2" xfId="1045"/>
    <cellStyle name="Millares [0] 2 2 3 20" xfId="993"/>
    <cellStyle name="Millares [0] 2 2 3 3" xfId="264"/>
    <cellStyle name="Millares [0] 2 2 3 3 2" xfId="1180"/>
    <cellStyle name="Millares [0] 2 2 3 4" xfId="399"/>
    <cellStyle name="Millares [0] 2 2 3 4 2" xfId="1315"/>
    <cellStyle name="Millares [0] 2 2 3 5" xfId="532"/>
    <cellStyle name="Millares [0] 2 2 3 5 2" xfId="1448"/>
    <cellStyle name="Millares [0] 2 2 3 6" xfId="668"/>
    <cellStyle name="Millares [0] 2 2 3 6 2" xfId="1584"/>
    <cellStyle name="Millares [0] 2 2 3 7" xfId="808"/>
    <cellStyle name="Millares [0] 2 2 3 7 2" xfId="1724"/>
    <cellStyle name="Millares [0] 2 2 3 8" xfId="1858"/>
    <cellStyle name="Millares [0] 2 2 3 9" xfId="1996"/>
    <cellStyle name="Millares [0] 2 2 4" xfId="130"/>
    <cellStyle name="Millares [0] 2 2 4 10" xfId="2276"/>
    <cellStyle name="Millares [0] 2 2 4 11" xfId="2413"/>
    <cellStyle name="Millares [0] 2 2 4 12" xfId="2552"/>
    <cellStyle name="Millares [0] 2 2 4 13" xfId="2686"/>
    <cellStyle name="Millares [0] 2 2 4 14" xfId="2821"/>
    <cellStyle name="Millares [0] 2 2 4 15" xfId="2957"/>
    <cellStyle name="Millares [0] 2 2 4 16" xfId="3093"/>
    <cellStyle name="Millares [0] 2 2 4 17" xfId="3228"/>
    <cellStyle name="Millares [0] 2 2 4 18" xfId="3371"/>
    <cellStyle name="Millares [0] 2 2 4 19" xfId="1046"/>
    <cellStyle name="Millares [0] 2 2 4 2" xfId="265"/>
    <cellStyle name="Millares [0] 2 2 4 2 2" xfId="1181"/>
    <cellStyle name="Millares [0] 2 2 4 3" xfId="400"/>
    <cellStyle name="Millares [0] 2 2 4 3 2" xfId="1316"/>
    <cellStyle name="Millares [0] 2 2 4 4" xfId="533"/>
    <cellStyle name="Millares [0] 2 2 4 4 2" xfId="1449"/>
    <cellStyle name="Millares [0] 2 2 4 5" xfId="669"/>
    <cellStyle name="Millares [0] 2 2 4 5 2" xfId="1585"/>
    <cellStyle name="Millares [0] 2 2 4 6" xfId="809"/>
    <cellStyle name="Millares [0] 2 2 4 6 2" xfId="1725"/>
    <cellStyle name="Millares [0] 2 2 4 7" xfId="1859"/>
    <cellStyle name="Millares [0] 2 2 4 8" xfId="1997"/>
    <cellStyle name="Millares [0] 2 2 4 9" xfId="2135"/>
    <cellStyle name="Millares [0] 2 2 5" xfId="127"/>
    <cellStyle name="Millares [0] 2 2 5 2" xfId="1043"/>
    <cellStyle name="Millares [0] 2 2 6" xfId="262"/>
    <cellStyle name="Millares [0] 2 2 6 2" xfId="1178"/>
    <cellStyle name="Millares [0] 2 2 7" xfId="397"/>
    <cellStyle name="Millares [0] 2 2 7 2" xfId="1313"/>
    <cellStyle name="Millares [0] 2 2 8" xfId="530"/>
    <cellStyle name="Millares [0] 2 2 8 2" xfId="1446"/>
    <cellStyle name="Millares [0] 2 2 9" xfId="666"/>
    <cellStyle name="Millares [0] 2 2 9 2" xfId="1582"/>
    <cellStyle name="Millares [0] 2 20" xfId="2817"/>
    <cellStyle name="Millares [0] 2 21" xfId="2953"/>
    <cellStyle name="Millares [0] 2 22" xfId="3089"/>
    <cellStyle name="Millares [0] 2 23" xfId="3224"/>
    <cellStyle name="Millares [0] 2 24" xfId="3367"/>
    <cellStyle name="Millares [0] 2 25" xfId="952"/>
    <cellStyle name="Millares [0] 2 3" xfId="93"/>
    <cellStyle name="Millares [0] 2 3 10" xfId="1998"/>
    <cellStyle name="Millares [0] 2 3 11" xfId="2136"/>
    <cellStyle name="Millares [0] 2 3 12" xfId="2277"/>
    <cellStyle name="Millares [0] 2 3 13" xfId="2414"/>
    <cellStyle name="Millares [0] 2 3 14" xfId="2553"/>
    <cellStyle name="Millares [0] 2 3 15" xfId="2687"/>
    <cellStyle name="Millares [0] 2 3 16" xfId="2822"/>
    <cellStyle name="Millares [0] 2 3 17" xfId="2958"/>
    <cellStyle name="Millares [0] 2 3 18" xfId="3094"/>
    <cellStyle name="Millares [0] 2 3 19" xfId="3229"/>
    <cellStyle name="Millares [0] 2 3 2" xfId="132"/>
    <cellStyle name="Millares [0] 2 3 2 10" xfId="2278"/>
    <cellStyle name="Millares [0] 2 3 2 11" xfId="2415"/>
    <cellStyle name="Millares [0] 2 3 2 12" xfId="2554"/>
    <cellStyle name="Millares [0] 2 3 2 13" xfId="2688"/>
    <cellStyle name="Millares [0] 2 3 2 14" xfId="2823"/>
    <cellStyle name="Millares [0] 2 3 2 15" xfId="2959"/>
    <cellStyle name="Millares [0] 2 3 2 16" xfId="3095"/>
    <cellStyle name="Millares [0] 2 3 2 17" xfId="3230"/>
    <cellStyle name="Millares [0] 2 3 2 18" xfId="3373"/>
    <cellStyle name="Millares [0] 2 3 2 19" xfId="1048"/>
    <cellStyle name="Millares [0] 2 3 2 2" xfId="267"/>
    <cellStyle name="Millares [0] 2 3 2 2 2" xfId="1183"/>
    <cellStyle name="Millares [0] 2 3 2 3" xfId="402"/>
    <cellStyle name="Millares [0] 2 3 2 3 2" xfId="1318"/>
    <cellStyle name="Millares [0] 2 3 2 4" xfId="535"/>
    <cellStyle name="Millares [0] 2 3 2 4 2" xfId="1451"/>
    <cellStyle name="Millares [0] 2 3 2 5" xfId="671"/>
    <cellStyle name="Millares [0] 2 3 2 5 2" xfId="1587"/>
    <cellStyle name="Millares [0] 2 3 2 6" xfId="811"/>
    <cellStyle name="Millares [0] 2 3 2 6 2" xfId="1727"/>
    <cellStyle name="Millares [0] 2 3 2 7" xfId="1861"/>
    <cellStyle name="Millares [0] 2 3 2 8" xfId="1999"/>
    <cellStyle name="Millares [0] 2 3 2 9" xfId="2137"/>
    <cellStyle name="Millares [0] 2 3 20" xfId="3372"/>
    <cellStyle name="Millares [0] 2 3 21" xfId="1009"/>
    <cellStyle name="Millares [0] 2 3 3" xfId="131"/>
    <cellStyle name="Millares [0] 2 3 3 2" xfId="1047"/>
    <cellStyle name="Millares [0] 2 3 4" xfId="266"/>
    <cellStyle name="Millares [0] 2 3 4 2" xfId="1182"/>
    <cellStyle name="Millares [0] 2 3 5" xfId="401"/>
    <cellStyle name="Millares [0] 2 3 5 2" xfId="1317"/>
    <cellStyle name="Millares [0] 2 3 6" xfId="534"/>
    <cellStyle name="Millares [0] 2 3 6 2" xfId="1450"/>
    <cellStyle name="Millares [0] 2 3 7" xfId="670"/>
    <cellStyle name="Millares [0] 2 3 7 2" xfId="1586"/>
    <cellStyle name="Millares [0] 2 3 8" xfId="810"/>
    <cellStyle name="Millares [0] 2 3 8 2" xfId="1726"/>
    <cellStyle name="Millares [0] 2 3 9" xfId="1860"/>
    <cellStyle name="Millares [0] 2 4" xfId="67"/>
    <cellStyle name="Millares [0] 2 4 10" xfId="2138"/>
    <cellStyle name="Millares [0] 2 4 11" xfId="2279"/>
    <cellStyle name="Millares [0] 2 4 12" xfId="2416"/>
    <cellStyle name="Millares [0] 2 4 13" xfId="2555"/>
    <cellStyle name="Millares [0] 2 4 14" xfId="2689"/>
    <cellStyle name="Millares [0] 2 4 15" xfId="2824"/>
    <cellStyle name="Millares [0] 2 4 16" xfId="2960"/>
    <cellStyle name="Millares [0] 2 4 17" xfId="3096"/>
    <cellStyle name="Millares [0] 2 4 18" xfId="3231"/>
    <cellStyle name="Millares [0] 2 4 19" xfId="3374"/>
    <cellStyle name="Millares [0] 2 4 2" xfId="133"/>
    <cellStyle name="Millares [0] 2 4 2 2" xfId="1049"/>
    <cellStyle name="Millares [0] 2 4 20" xfId="983"/>
    <cellStyle name="Millares [0] 2 4 3" xfId="268"/>
    <cellStyle name="Millares [0] 2 4 3 2" xfId="1184"/>
    <cellStyle name="Millares [0] 2 4 4" xfId="403"/>
    <cellStyle name="Millares [0] 2 4 4 2" xfId="1319"/>
    <cellStyle name="Millares [0] 2 4 5" xfId="536"/>
    <cellStyle name="Millares [0] 2 4 5 2" xfId="1452"/>
    <cellStyle name="Millares [0] 2 4 6" xfId="672"/>
    <cellStyle name="Millares [0] 2 4 6 2" xfId="1588"/>
    <cellStyle name="Millares [0] 2 4 7" xfId="812"/>
    <cellStyle name="Millares [0] 2 4 7 2" xfId="1728"/>
    <cellStyle name="Millares [0] 2 4 8" xfId="1862"/>
    <cellStyle name="Millares [0] 2 4 9" xfId="2000"/>
    <cellStyle name="Millares [0] 2 5" xfId="122"/>
    <cellStyle name="Millares [0] 2 5 10" xfId="2139"/>
    <cellStyle name="Millares [0] 2 5 11" xfId="2280"/>
    <cellStyle name="Millares [0] 2 5 12" xfId="2417"/>
    <cellStyle name="Millares [0] 2 5 13" xfId="2556"/>
    <cellStyle name="Millares [0] 2 5 14" xfId="2690"/>
    <cellStyle name="Millares [0] 2 5 15" xfId="2825"/>
    <cellStyle name="Millares [0] 2 5 16" xfId="2961"/>
    <cellStyle name="Millares [0] 2 5 17" xfId="3097"/>
    <cellStyle name="Millares [0] 2 5 18" xfId="3232"/>
    <cellStyle name="Millares [0] 2 5 19" xfId="3375"/>
    <cellStyle name="Millares [0] 2 5 2" xfId="134"/>
    <cellStyle name="Millares [0] 2 5 2 2" xfId="1050"/>
    <cellStyle name="Millares [0] 2 5 20" xfId="1038"/>
    <cellStyle name="Millares [0] 2 5 3" xfId="269"/>
    <cellStyle name="Millares [0] 2 5 3 2" xfId="1185"/>
    <cellStyle name="Millares [0] 2 5 4" xfId="404"/>
    <cellStyle name="Millares [0] 2 5 4 2" xfId="1320"/>
    <cellStyle name="Millares [0] 2 5 5" xfId="537"/>
    <cellStyle name="Millares [0] 2 5 5 2" xfId="1453"/>
    <cellStyle name="Millares [0] 2 5 6" xfId="673"/>
    <cellStyle name="Millares [0] 2 5 6 2" xfId="1589"/>
    <cellStyle name="Millares [0] 2 5 7" xfId="813"/>
    <cellStyle name="Millares [0] 2 5 7 2" xfId="1729"/>
    <cellStyle name="Millares [0] 2 5 8" xfId="1863"/>
    <cellStyle name="Millares [0] 2 5 9" xfId="2001"/>
    <cellStyle name="Millares [0] 2 6" xfId="135"/>
    <cellStyle name="Millares [0] 2 6 10" xfId="2281"/>
    <cellStyle name="Millares [0] 2 6 11" xfId="2418"/>
    <cellStyle name="Millares [0] 2 6 12" xfId="2557"/>
    <cellStyle name="Millares [0] 2 6 13" xfId="2691"/>
    <cellStyle name="Millares [0] 2 6 14" xfId="2826"/>
    <cellStyle name="Millares [0] 2 6 15" xfId="2962"/>
    <cellStyle name="Millares [0] 2 6 16" xfId="3098"/>
    <cellStyle name="Millares [0] 2 6 17" xfId="3233"/>
    <cellStyle name="Millares [0] 2 6 18" xfId="3376"/>
    <cellStyle name="Millares [0] 2 6 19" xfId="1051"/>
    <cellStyle name="Millares [0] 2 6 2" xfId="270"/>
    <cellStyle name="Millares [0] 2 6 2 2" xfId="1186"/>
    <cellStyle name="Millares [0] 2 6 3" xfId="405"/>
    <cellStyle name="Millares [0] 2 6 3 2" xfId="1321"/>
    <cellStyle name="Millares [0] 2 6 4" xfId="538"/>
    <cellStyle name="Millares [0] 2 6 4 2" xfId="1454"/>
    <cellStyle name="Millares [0] 2 6 5" xfId="674"/>
    <cellStyle name="Millares [0] 2 6 5 2" xfId="1590"/>
    <cellStyle name="Millares [0] 2 6 6" xfId="814"/>
    <cellStyle name="Millares [0] 2 6 6 2" xfId="1730"/>
    <cellStyle name="Millares [0] 2 6 7" xfId="1864"/>
    <cellStyle name="Millares [0] 2 6 8" xfId="2002"/>
    <cellStyle name="Millares [0] 2 6 9" xfId="2140"/>
    <cellStyle name="Millares [0] 2 7" xfId="126"/>
    <cellStyle name="Millares [0] 2 7 2" xfId="1042"/>
    <cellStyle name="Millares [0] 2 8" xfId="261"/>
    <cellStyle name="Millares [0] 2 8 2" xfId="1177"/>
    <cellStyle name="Millares [0] 2 9" xfId="396"/>
    <cellStyle name="Millares [0] 2 9 2" xfId="1312"/>
    <cellStyle name="Millares [0] 20" xfId="2408"/>
    <cellStyle name="Millares [0] 21" xfId="2547"/>
    <cellStyle name="Millares [0] 22" xfId="2681"/>
    <cellStyle name="Millares [0] 23" xfId="2816"/>
    <cellStyle name="Millares [0] 24" xfId="2952"/>
    <cellStyle name="Millares [0] 25" xfId="3088"/>
    <cellStyle name="Millares [0] 26" xfId="3223"/>
    <cellStyle name="Millares [0] 27" xfId="3366"/>
    <cellStyle name="Millares [0] 28" xfId="946"/>
    <cellStyle name="Millares [0] 3" xfId="35"/>
    <cellStyle name="Millares [0] 3 10" xfId="815"/>
    <cellStyle name="Millares [0] 3 10 2" xfId="1731"/>
    <cellStyle name="Millares [0] 3 11" xfId="1865"/>
    <cellStyle name="Millares [0] 3 12" xfId="2003"/>
    <cellStyle name="Millares [0] 3 13" xfId="2141"/>
    <cellStyle name="Millares [0] 3 14" xfId="2282"/>
    <cellStyle name="Millares [0] 3 15" xfId="2419"/>
    <cellStyle name="Millares [0] 3 16" xfId="2558"/>
    <cellStyle name="Millares [0] 3 17" xfId="2692"/>
    <cellStyle name="Millares [0] 3 18" xfId="2827"/>
    <cellStyle name="Millares [0] 3 19" xfId="2963"/>
    <cellStyle name="Millares [0] 3 2" xfId="92"/>
    <cellStyle name="Millares [0] 3 2 10" xfId="2142"/>
    <cellStyle name="Millares [0] 3 2 11" xfId="2283"/>
    <cellStyle name="Millares [0] 3 2 12" xfId="2420"/>
    <cellStyle name="Millares [0] 3 2 13" xfId="2559"/>
    <cellStyle name="Millares [0] 3 2 14" xfId="2693"/>
    <cellStyle name="Millares [0] 3 2 15" xfId="2828"/>
    <cellStyle name="Millares [0] 3 2 16" xfId="2964"/>
    <cellStyle name="Millares [0] 3 2 17" xfId="3100"/>
    <cellStyle name="Millares [0] 3 2 18" xfId="3235"/>
    <cellStyle name="Millares [0] 3 2 19" xfId="3378"/>
    <cellStyle name="Millares [0] 3 2 2" xfId="137"/>
    <cellStyle name="Millares [0] 3 2 2 2" xfId="1053"/>
    <cellStyle name="Millares [0] 3 2 20" xfId="1008"/>
    <cellStyle name="Millares [0] 3 2 3" xfId="272"/>
    <cellStyle name="Millares [0] 3 2 3 2" xfId="1188"/>
    <cellStyle name="Millares [0] 3 2 4" xfId="407"/>
    <cellStyle name="Millares [0] 3 2 4 2" xfId="1323"/>
    <cellStyle name="Millares [0] 3 2 5" xfId="540"/>
    <cellStyle name="Millares [0] 3 2 5 2" xfId="1456"/>
    <cellStyle name="Millares [0] 3 2 6" xfId="676"/>
    <cellStyle name="Millares [0] 3 2 6 2" xfId="1592"/>
    <cellStyle name="Millares [0] 3 2 7" xfId="816"/>
    <cellStyle name="Millares [0] 3 2 7 2" xfId="1732"/>
    <cellStyle name="Millares [0] 3 2 8" xfId="1866"/>
    <cellStyle name="Millares [0] 3 2 9" xfId="2004"/>
    <cellStyle name="Millares [0] 3 20" xfId="3099"/>
    <cellStyle name="Millares [0] 3 21" xfId="3234"/>
    <cellStyle name="Millares [0] 3 22" xfId="3377"/>
    <cellStyle name="Millares [0] 3 23" xfId="951"/>
    <cellStyle name="Millares [0] 3 3" xfId="66"/>
    <cellStyle name="Millares [0] 3 3 10" xfId="2143"/>
    <cellStyle name="Millares [0] 3 3 11" xfId="2284"/>
    <cellStyle name="Millares [0] 3 3 12" xfId="2421"/>
    <cellStyle name="Millares [0] 3 3 13" xfId="2560"/>
    <cellStyle name="Millares [0] 3 3 14" xfId="2694"/>
    <cellStyle name="Millares [0] 3 3 15" xfId="2829"/>
    <cellStyle name="Millares [0] 3 3 16" xfId="2965"/>
    <cellStyle name="Millares [0] 3 3 17" xfId="3101"/>
    <cellStyle name="Millares [0] 3 3 18" xfId="3236"/>
    <cellStyle name="Millares [0] 3 3 19" xfId="3379"/>
    <cellStyle name="Millares [0] 3 3 2" xfId="138"/>
    <cellStyle name="Millares [0] 3 3 2 2" xfId="1054"/>
    <cellStyle name="Millares [0] 3 3 20" xfId="982"/>
    <cellStyle name="Millares [0] 3 3 3" xfId="273"/>
    <cellStyle name="Millares [0] 3 3 3 2" xfId="1189"/>
    <cellStyle name="Millares [0] 3 3 4" xfId="408"/>
    <cellStyle name="Millares [0] 3 3 4 2" xfId="1324"/>
    <cellStyle name="Millares [0] 3 3 5" xfId="541"/>
    <cellStyle name="Millares [0] 3 3 5 2" xfId="1457"/>
    <cellStyle name="Millares [0] 3 3 6" xfId="677"/>
    <cellStyle name="Millares [0] 3 3 6 2" xfId="1593"/>
    <cellStyle name="Millares [0] 3 3 7" xfId="817"/>
    <cellStyle name="Millares [0] 3 3 7 2" xfId="1733"/>
    <cellStyle name="Millares [0] 3 3 8" xfId="1867"/>
    <cellStyle name="Millares [0] 3 3 9" xfId="2005"/>
    <cellStyle name="Millares [0] 3 4" xfId="139"/>
    <cellStyle name="Millares [0] 3 4 10" xfId="2285"/>
    <cellStyle name="Millares [0] 3 4 11" xfId="2422"/>
    <cellStyle name="Millares [0] 3 4 12" xfId="2561"/>
    <cellStyle name="Millares [0] 3 4 13" xfId="2695"/>
    <cellStyle name="Millares [0] 3 4 14" xfId="2830"/>
    <cellStyle name="Millares [0] 3 4 15" xfId="2966"/>
    <cellStyle name="Millares [0] 3 4 16" xfId="3102"/>
    <cellStyle name="Millares [0] 3 4 17" xfId="3237"/>
    <cellStyle name="Millares [0] 3 4 18" xfId="3380"/>
    <cellStyle name="Millares [0] 3 4 19" xfId="1055"/>
    <cellStyle name="Millares [0] 3 4 2" xfId="274"/>
    <cellStyle name="Millares [0] 3 4 2 2" xfId="1190"/>
    <cellStyle name="Millares [0] 3 4 3" xfId="409"/>
    <cellStyle name="Millares [0] 3 4 3 2" xfId="1325"/>
    <cellStyle name="Millares [0] 3 4 4" xfId="542"/>
    <cellStyle name="Millares [0] 3 4 4 2" xfId="1458"/>
    <cellStyle name="Millares [0] 3 4 5" xfId="678"/>
    <cellStyle name="Millares [0] 3 4 5 2" xfId="1594"/>
    <cellStyle name="Millares [0] 3 4 6" xfId="818"/>
    <cellStyle name="Millares [0] 3 4 6 2" xfId="1734"/>
    <cellStyle name="Millares [0] 3 4 7" xfId="1868"/>
    <cellStyle name="Millares [0] 3 4 8" xfId="2006"/>
    <cellStyle name="Millares [0] 3 4 9" xfId="2144"/>
    <cellStyle name="Millares [0] 3 5" xfId="136"/>
    <cellStyle name="Millares [0] 3 5 2" xfId="1052"/>
    <cellStyle name="Millares [0] 3 6" xfId="271"/>
    <cellStyle name="Millares [0] 3 6 2" xfId="1187"/>
    <cellStyle name="Millares [0] 3 7" xfId="406"/>
    <cellStyle name="Millares [0] 3 7 2" xfId="1322"/>
    <cellStyle name="Millares [0] 3 8" xfId="539"/>
    <cellStyle name="Millares [0] 3 8 2" xfId="1455"/>
    <cellStyle name="Millares [0] 3 9" xfId="675"/>
    <cellStyle name="Millares [0] 3 9 2" xfId="1591"/>
    <cellStyle name="Millares [0] 4" xfId="45"/>
    <cellStyle name="Millares [0] 4 10" xfId="819"/>
    <cellStyle name="Millares [0] 4 10 2" xfId="1735"/>
    <cellStyle name="Millares [0] 4 11" xfId="1869"/>
    <cellStyle name="Millares [0] 4 12" xfId="2007"/>
    <cellStyle name="Millares [0] 4 13" xfId="2145"/>
    <cellStyle name="Millares [0] 4 14" xfId="2286"/>
    <cellStyle name="Millares [0] 4 15" xfId="2423"/>
    <cellStyle name="Millares [0] 4 16" xfId="2562"/>
    <cellStyle name="Millares [0] 4 17" xfId="2696"/>
    <cellStyle name="Millares [0] 4 18" xfId="2831"/>
    <cellStyle name="Millares [0] 4 19" xfId="2967"/>
    <cellStyle name="Millares [0] 4 2" xfId="102"/>
    <cellStyle name="Millares [0] 4 2 10" xfId="2146"/>
    <cellStyle name="Millares [0] 4 2 11" xfId="2287"/>
    <cellStyle name="Millares [0] 4 2 12" xfId="2424"/>
    <cellStyle name="Millares [0] 4 2 13" xfId="2563"/>
    <cellStyle name="Millares [0] 4 2 14" xfId="2697"/>
    <cellStyle name="Millares [0] 4 2 15" xfId="2832"/>
    <cellStyle name="Millares [0] 4 2 16" xfId="2968"/>
    <cellStyle name="Millares [0] 4 2 17" xfId="3104"/>
    <cellStyle name="Millares [0] 4 2 18" xfId="3239"/>
    <cellStyle name="Millares [0] 4 2 19" xfId="3382"/>
    <cellStyle name="Millares [0] 4 2 2" xfId="141"/>
    <cellStyle name="Millares [0] 4 2 2 2" xfId="1057"/>
    <cellStyle name="Millares [0] 4 2 20" xfId="1018"/>
    <cellStyle name="Millares [0] 4 2 3" xfId="276"/>
    <cellStyle name="Millares [0] 4 2 3 2" xfId="1192"/>
    <cellStyle name="Millares [0] 4 2 4" xfId="411"/>
    <cellStyle name="Millares [0] 4 2 4 2" xfId="1327"/>
    <cellStyle name="Millares [0] 4 2 5" xfId="544"/>
    <cellStyle name="Millares [0] 4 2 5 2" xfId="1460"/>
    <cellStyle name="Millares [0] 4 2 6" xfId="680"/>
    <cellStyle name="Millares [0] 4 2 6 2" xfId="1596"/>
    <cellStyle name="Millares [0] 4 2 7" xfId="820"/>
    <cellStyle name="Millares [0] 4 2 7 2" xfId="1736"/>
    <cellStyle name="Millares [0] 4 2 8" xfId="1870"/>
    <cellStyle name="Millares [0] 4 2 9" xfId="2008"/>
    <cellStyle name="Millares [0] 4 20" xfId="3103"/>
    <cellStyle name="Millares [0] 4 21" xfId="3238"/>
    <cellStyle name="Millares [0] 4 22" xfId="3381"/>
    <cellStyle name="Millares [0] 4 23" xfId="961"/>
    <cellStyle name="Millares [0] 4 3" xfId="76"/>
    <cellStyle name="Millares [0] 4 3 10" xfId="2147"/>
    <cellStyle name="Millares [0] 4 3 11" xfId="2288"/>
    <cellStyle name="Millares [0] 4 3 12" xfId="2425"/>
    <cellStyle name="Millares [0] 4 3 13" xfId="2564"/>
    <cellStyle name="Millares [0] 4 3 14" xfId="2698"/>
    <cellStyle name="Millares [0] 4 3 15" xfId="2833"/>
    <cellStyle name="Millares [0] 4 3 16" xfId="2969"/>
    <cellStyle name="Millares [0] 4 3 17" xfId="3105"/>
    <cellStyle name="Millares [0] 4 3 18" xfId="3240"/>
    <cellStyle name="Millares [0] 4 3 19" xfId="3383"/>
    <cellStyle name="Millares [0] 4 3 2" xfId="142"/>
    <cellStyle name="Millares [0] 4 3 2 2" xfId="1058"/>
    <cellStyle name="Millares [0] 4 3 20" xfId="992"/>
    <cellStyle name="Millares [0] 4 3 3" xfId="277"/>
    <cellStyle name="Millares [0] 4 3 3 2" xfId="1193"/>
    <cellStyle name="Millares [0] 4 3 4" xfId="412"/>
    <cellStyle name="Millares [0] 4 3 4 2" xfId="1328"/>
    <cellStyle name="Millares [0] 4 3 5" xfId="545"/>
    <cellStyle name="Millares [0] 4 3 5 2" xfId="1461"/>
    <cellStyle name="Millares [0] 4 3 6" xfId="681"/>
    <cellStyle name="Millares [0] 4 3 6 2" xfId="1597"/>
    <cellStyle name="Millares [0] 4 3 7" xfId="821"/>
    <cellStyle name="Millares [0] 4 3 7 2" xfId="1737"/>
    <cellStyle name="Millares [0] 4 3 8" xfId="1871"/>
    <cellStyle name="Millares [0] 4 3 9" xfId="2009"/>
    <cellStyle name="Millares [0] 4 4" xfId="143"/>
    <cellStyle name="Millares [0] 4 4 10" xfId="2289"/>
    <cellStyle name="Millares [0] 4 4 11" xfId="2426"/>
    <cellStyle name="Millares [0] 4 4 12" xfId="2565"/>
    <cellStyle name="Millares [0] 4 4 13" xfId="2699"/>
    <cellStyle name="Millares [0] 4 4 14" xfId="2834"/>
    <cellStyle name="Millares [0] 4 4 15" xfId="2970"/>
    <cellStyle name="Millares [0] 4 4 16" xfId="3106"/>
    <cellStyle name="Millares [0] 4 4 17" xfId="3241"/>
    <cellStyle name="Millares [0] 4 4 18" xfId="3384"/>
    <cellStyle name="Millares [0] 4 4 19" xfId="1059"/>
    <cellStyle name="Millares [0] 4 4 2" xfId="278"/>
    <cellStyle name="Millares [0] 4 4 2 2" xfId="1194"/>
    <cellStyle name="Millares [0] 4 4 3" xfId="413"/>
    <cellStyle name="Millares [0] 4 4 3 2" xfId="1329"/>
    <cellStyle name="Millares [0] 4 4 4" xfId="546"/>
    <cellStyle name="Millares [0] 4 4 4 2" xfId="1462"/>
    <cellStyle name="Millares [0] 4 4 5" xfId="682"/>
    <cellStyle name="Millares [0] 4 4 5 2" xfId="1598"/>
    <cellStyle name="Millares [0] 4 4 6" xfId="822"/>
    <cellStyle name="Millares [0] 4 4 6 2" xfId="1738"/>
    <cellStyle name="Millares [0] 4 4 7" xfId="1872"/>
    <cellStyle name="Millares [0] 4 4 8" xfId="2010"/>
    <cellStyle name="Millares [0] 4 4 9" xfId="2148"/>
    <cellStyle name="Millares [0] 4 5" xfId="140"/>
    <cellStyle name="Millares [0] 4 5 2" xfId="1056"/>
    <cellStyle name="Millares [0] 4 6" xfId="275"/>
    <cellStyle name="Millares [0] 4 6 2" xfId="1191"/>
    <cellStyle name="Millares [0] 4 7" xfId="410"/>
    <cellStyle name="Millares [0] 4 7 2" xfId="1326"/>
    <cellStyle name="Millares [0] 4 8" xfId="543"/>
    <cellStyle name="Millares [0] 4 8 2" xfId="1459"/>
    <cellStyle name="Millares [0] 4 9" xfId="679"/>
    <cellStyle name="Millares [0] 4 9 2" xfId="1595"/>
    <cellStyle name="Millares [0] 5" xfId="61"/>
    <cellStyle name="Millares [0] 5 10" xfId="2011"/>
    <cellStyle name="Millares [0] 5 11" xfId="2149"/>
    <cellStyle name="Millares [0] 5 12" xfId="2290"/>
    <cellStyle name="Millares [0] 5 13" xfId="2427"/>
    <cellStyle name="Millares [0] 5 14" xfId="2566"/>
    <cellStyle name="Millares [0] 5 15" xfId="2700"/>
    <cellStyle name="Millares [0] 5 16" xfId="2835"/>
    <cellStyle name="Millares [0] 5 17" xfId="2971"/>
    <cellStyle name="Millares [0] 5 18" xfId="3107"/>
    <cellStyle name="Millares [0] 5 19" xfId="3242"/>
    <cellStyle name="Millares [0] 5 2" xfId="145"/>
    <cellStyle name="Millares [0] 5 2 10" xfId="2291"/>
    <cellStyle name="Millares [0] 5 2 11" xfId="2428"/>
    <cellStyle name="Millares [0] 5 2 12" xfId="2567"/>
    <cellStyle name="Millares [0] 5 2 13" xfId="2701"/>
    <cellStyle name="Millares [0] 5 2 14" xfId="2836"/>
    <cellStyle name="Millares [0] 5 2 15" xfId="2972"/>
    <cellStyle name="Millares [0] 5 2 16" xfId="3108"/>
    <cellStyle name="Millares [0] 5 2 17" xfId="3243"/>
    <cellStyle name="Millares [0] 5 2 18" xfId="3386"/>
    <cellStyle name="Millares [0] 5 2 19" xfId="1061"/>
    <cellStyle name="Millares [0] 5 2 2" xfId="280"/>
    <cellStyle name="Millares [0] 5 2 2 2" xfId="1196"/>
    <cellStyle name="Millares [0] 5 2 3" xfId="415"/>
    <cellStyle name="Millares [0] 5 2 3 2" xfId="1331"/>
    <cellStyle name="Millares [0] 5 2 4" xfId="548"/>
    <cellStyle name="Millares [0] 5 2 4 2" xfId="1464"/>
    <cellStyle name="Millares [0] 5 2 5" xfId="684"/>
    <cellStyle name="Millares [0] 5 2 5 2" xfId="1600"/>
    <cellStyle name="Millares [0] 5 2 6" xfId="824"/>
    <cellStyle name="Millares [0] 5 2 6 2" xfId="1740"/>
    <cellStyle name="Millares [0] 5 2 7" xfId="1874"/>
    <cellStyle name="Millares [0] 5 2 8" xfId="2012"/>
    <cellStyle name="Millares [0] 5 2 9" xfId="2150"/>
    <cellStyle name="Millares [0] 5 20" xfId="3385"/>
    <cellStyle name="Millares [0] 5 21" xfId="977"/>
    <cellStyle name="Millares [0] 5 3" xfId="144"/>
    <cellStyle name="Millares [0] 5 3 2" xfId="1060"/>
    <cellStyle name="Millares [0] 5 4" xfId="279"/>
    <cellStyle name="Millares [0] 5 4 2" xfId="1195"/>
    <cellStyle name="Millares [0] 5 5" xfId="414"/>
    <cellStyle name="Millares [0] 5 5 2" xfId="1330"/>
    <cellStyle name="Millares [0] 5 6" xfId="547"/>
    <cellStyle name="Millares [0] 5 6 2" xfId="1463"/>
    <cellStyle name="Millares [0] 5 7" xfId="683"/>
    <cellStyle name="Millares [0] 5 7 2" xfId="1599"/>
    <cellStyle name="Millares [0] 5 8" xfId="823"/>
    <cellStyle name="Millares [0] 5 8 2" xfId="1739"/>
    <cellStyle name="Millares [0] 5 9" xfId="1873"/>
    <cellStyle name="Millares [0] 6" xfId="87"/>
    <cellStyle name="Millares [0] 6 10" xfId="2151"/>
    <cellStyle name="Millares [0] 6 11" xfId="2292"/>
    <cellStyle name="Millares [0] 6 12" xfId="2429"/>
    <cellStyle name="Millares [0] 6 13" xfId="2568"/>
    <cellStyle name="Millares [0] 6 14" xfId="2702"/>
    <cellStyle name="Millares [0] 6 15" xfId="2837"/>
    <cellStyle name="Millares [0] 6 16" xfId="2973"/>
    <cellStyle name="Millares [0] 6 17" xfId="3109"/>
    <cellStyle name="Millares [0] 6 18" xfId="3244"/>
    <cellStyle name="Millares [0] 6 19" xfId="3387"/>
    <cellStyle name="Millares [0] 6 2" xfId="146"/>
    <cellStyle name="Millares [0] 6 2 2" xfId="1062"/>
    <cellStyle name="Millares [0] 6 20" xfId="1003"/>
    <cellStyle name="Millares [0] 6 3" xfId="281"/>
    <cellStyle name="Millares [0] 6 3 2" xfId="1197"/>
    <cellStyle name="Millares [0] 6 4" xfId="416"/>
    <cellStyle name="Millares [0] 6 4 2" xfId="1332"/>
    <cellStyle name="Millares [0] 6 5" xfId="549"/>
    <cellStyle name="Millares [0] 6 5 2" xfId="1465"/>
    <cellStyle name="Millares [0] 6 6" xfId="685"/>
    <cellStyle name="Millares [0] 6 6 2" xfId="1601"/>
    <cellStyle name="Millares [0] 6 7" xfId="825"/>
    <cellStyle name="Millares [0] 6 7 2" xfId="1741"/>
    <cellStyle name="Millares [0] 6 8" xfId="1875"/>
    <cellStyle name="Millares [0] 6 9" xfId="2013"/>
    <cellStyle name="Millares [0] 7" xfId="55"/>
    <cellStyle name="Millares [0] 7 10" xfId="2152"/>
    <cellStyle name="Millares [0] 7 11" xfId="2293"/>
    <cellStyle name="Millares [0] 7 12" xfId="2430"/>
    <cellStyle name="Millares [0] 7 13" xfId="2569"/>
    <cellStyle name="Millares [0] 7 14" xfId="2703"/>
    <cellStyle name="Millares [0] 7 15" xfId="2838"/>
    <cellStyle name="Millares [0] 7 16" xfId="2974"/>
    <cellStyle name="Millares [0] 7 17" xfId="3110"/>
    <cellStyle name="Millares [0] 7 18" xfId="3245"/>
    <cellStyle name="Millares [0] 7 19" xfId="3388"/>
    <cellStyle name="Millares [0] 7 2" xfId="147"/>
    <cellStyle name="Millares [0] 7 2 2" xfId="1063"/>
    <cellStyle name="Millares [0] 7 20" xfId="971"/>
    <cellStyle name="Millares [0] 7 3" xfId="282"/>
    <cellStyle name="Millares [0] 7 3 2" xfId="1198"/>
    <cellStyle name="Millares [0] 7 4" xfId="417"/>
    <cellStyle name="Millares [0] 7 4 2" xfId="1333"/>
    <cellStyle name="Millares [0] 7 5" xfId="550"/>
    <cellStyle name="Millares [0] 7 5 2" xfId="1466"/>
    <cellStyle name="Millares [0] 7 6" xfId="686"/>
    <cellStyle name="Millares [0] 7 6 2" xfId="1602"/>
    <cellStyle name="Millares [0] 7 7" xfId="826"/>
    <cellStyle name="Millares [0] 7 7 2" xfId="1742"/>
    <cellStyle name="Millares [0] 7 8" xfId="1876"/>
    <cellStyle name="Millares [0] 7 9" xfId="2014"/>
    <cellStyle name="Millares [0] 8" xfId="117"/>
    <cellStyle name="Millares [0] 8 10" xfId="2153"/>
    <cellStyle name="Millares [0] 8 11" xfId="2294"/>
    <cellStyle name="Millares [0] 8 12" xfId="2431"/>
    <cellStyle name="Millares [0] 8 13" xfId="2570"/>
    <cellStyle name="Millares [0] 8 14" xfId="2704"/>
    <cellStyle name="Millares [0] 8 15" xfId="2839"/>
    <cellStyle name="Millares [0] 8 16" xfId="2975"/>
    <cellStyle name="Millares [0] 8 17" xfId="3111"/>
    <cellStyle name="Millares [0] 8 18" xfId="3246"/>
    <cellStyle name="Millares [0] 8 19" xfId="3389"/>
    <cellStyle name="Millares [0] 8 2" xfId="148"/>
    <cellStyle name="Millares [0] 8 2 2" xfId="1064"/>
    <cellStyle name="Millares [0] 8 20" xfId="1033"/>
    <cellStyle name="Millares [0] 8 3" xfId="283"/>
    <cellStyle name="Millares [0] 8 3 2" xfId="1199"/>
    <cellStyle name="Millares [0] 8 4" xfId="418"/>
    <cellStyle name="Millares [0] 8 4 2" xfId="1334"/>
    <cellStyle name="Millares [0] 8 5" xfId="551"/>
    <cellStyle name="Millares [0] 8 5 2" xfId="1467"/>
    <cellStyle name="Millares [0] 8 6" xfId="687"/>
    <cellStyle name="Millares [0] 8 6 2" xfId="1603"/>
    <cellStyle name="Millares [0] 8 7" xfId="827"/>
    <cellStyle name="Millares [0] 8 7 2" xfId="1743"/>
    <cellStyle name="Millares [0] 8 8" xfId="1877"/>
    <cellStyle name="Millares [0] 8 9" xfId="2015"/>
    <cellStyle name="Millares [0] 9" xfId="149"/>
    <cellStyle name="Millares [0] 9 10" xfId="2295"/>
    <cellStyle name="Millares [0] 9 11" xfId="2432"/>
    <cellStyle name="Millares [0] 9 12" xfId="2571"/>
    <cellStyle name="Millares [0] 9 13" xfId="2705"/>
    <cellStyle name="Millares [0] 9 14" xfId="2840"/>
    <cellStyle name="Millares [0] 9 15" xfId="2976"/>
    <cellStyle name="Millares [0] 9 16" xfId="3112"/>
    <cellStyle name="Millares [0] 9 17" xfId="3247"/>
    <cellStyle name="Millares [0] 9 18" xfId="3390"/>
    <cellStyle name="Millares [0] 9 19" xfId="1065"/>
    <cellStyle name="Millares [0] 9 2" xfId="284"/>
    <cellStyle name="Millares [0] 9 2 2" xfId="1200"/>
    <cellStyle name="Millares [0] 9 3" xfId="419"/>
    <cellStyle name="Millares [0] 9 3 2" xfId="1335"/>
    <cellStyle name="Millares [0] 9 4" xfId="552"/>
    <cellStyle name="Millares [0] 9 4 2" xfId="1468"/>
    <cellStyle name="Millares [0] 9 5" xfId="688"/>
    <cellStyle name="Millares [0] 9 5 2" xfId="1604"/>
    <cellStyle name="Millares [0] 9 6" xfId="828"/>
    <cellStyle name="Millares [0] 9 6 2" xfId="1744"/>
    <cellStyle name="Millares [0] 9 7" xfId="1878"/>
    <cellStyle name="Millares [0] 9 8" xfId="2016"/>
    <cellStyle name="Millares [0] 9 9" xfId="2154"/>
    <cellStyle name="Millares 10" xfId="25"/>
    <cellStyle name="Millares 10 10" xfId="2155"/>
    <cellStyle name="Millares 10 11" xfId="2296"/>
    <cellStyle name="Millares 10 12" xfId="2433"/>
    <cellStyle name="Millares 10 13" xfId="2572"/>
    <cellStyle name="Millares 10 14" xfId="2706"/>
    <cellStyle name="Millares 10 15" xfId="2841"/>
    <cellStyle name="Millares 10 16" xfId="2977"/>
    <cellStyle name="Millares 10 17" xfId="3113"/>
    <cellStyle name="Millares 10 18" xfId="3248"/>
    <cellStyle name="Millares 10 19" xfId="3391"/>
    <cellStyle name="Millares 10 2" xfId="150"/>
    <cellStyle name="Millares 10 2 2" xfId="1066"/>
    <cellStyle name="Millares 10 20" xfId="1026"/>
    <cellStyle name="Millares 10 3" xfId="285"/>
    <cellStyle name="Millares 10 3 2" xfId="1201"/>
    <cellStyle name="Millares 10 4" xfId="420"/>
    <cellStyle name="Millares 10 4 2" xfId="1336"/>
    <cellStyle name="Millares 10 5" xfId="553"/>
    <cellStyle name="Millares 10 5 2" xfId="1469"/>
    <cellStyle name="Millares 10 6" xfId="689"/>
    <cellStyle name="Millares 10 6 2" xfId="1605"/>
    <cellStyle name="Millares 10 7" xfId="829"/>
    <cellStyle name="Millares 10 7 2" xfId="1745"/>
    <cellStyle name="Millares 10 8" xfId="110"/>
    <cellStyle name="Millares 10 8 2" xfId="1879"/>
    <cellStyle name="Millares 10 9" xfId="2017"/>
    <cellStyle name="Millares 100" xfId="3499"/>
    <cellStyle name="Millares 101" xfId="3501"/>
    <cellStyle name="Millares 102" xfId="942"/>
    <cellStyle name="Millares 103" xfId="943"/>
    <cellStyle name="Millares 104" xfId="3506"/>
    <cellStyle name="Millares 105" xfId="3505"/>
    <cellStyle name="Millares 106" xfId="3503"/>
    <cellStyle name="Millares 107" xfId="3502"/>
    <cellStyle name="Millares 108" xfId="3507"/>
    <cellStyle name="Millares 109" xfId="3504"/>
    <cellStyle name="Millares 11" xfId="20"/>
    <cellStyle name="Millares 11 10" xfId="2156"/>
    <cellStyle name="Millares 11 11" xfId="2297"/>
    <cellStyle name="Millares 11 12" xfId="2434"/>
    <cellStyle name="Millares 11 13" xfId="2573"/>
    <cellStyle name="Millares 11 14" xfId="2707"/>
    <cellStyle name="Millares 11 15" xfId="2842"/>
    <cellStyle name="Millares 11 16" xfId="2978"/>
    <cellStyle name="Millares 11 17" xfId="3114"/>
    <cellStyle name="Millares 11 18" xfId="3249"/>
    <cellStyle name="Millares 11 19" xfId="3392"/>
    <cellStyle name="Millares 11 2" xfId="151"/>
    <cellStyle name="Millares 11 2 2" xfId="1067"/>
    <cellStyle name="Millares 11 20" xfId="1028"/>
    <cellStyle name="Millares 11 3" xfId="286"/>
    <cellStyle name="Millares 11 3 2" xfId="1202"/>
    <cellStyle name="Millares 11 4" xfId="421"/>
    <cellStyle name="Millares 11 4 2" xfId="1337"/>
    <cellStyle name="Millares 11 5" xfId="554"/>
    <cellStyle name="Millares 11 5 2" xfId="1470"/>
    <cellStyle name="Millares 11 6" xfId="690"/>
    <cellStyle name="Millares 11 6 2" xfId="1606"/>
    <cellStyle name="Millares 11 7" xfId="830"/>
    <cellStyle name="Millares 11 7 2" xfId="1746"/>
    <cellStyle name="Millares 11 8" xfId="112"/>
    <cellStyle name="Millares 11 8 2" xfId="1880"/>
    <cellStyle name="Millares 11 9" xfId="2018"/>
    <cellStyle name="Millares 12" xfId="23"/>
    <cellStyle name="Millares 12 10" xfId="2157"/>
    <cellStyle name="Millares 12 11" xfId="2298"/>
    <cellStyle name="Millares 12 12" xfId="2435"/>
    <cellStyle name="Millares 12 13" xfId="2574"/>
    <cellStyle name="Millares 12 14" xfId="2708"/>
    <cellStyle name="Millares 12 15" xfId="2843"/>
    <cellStyle name="Millares 12 16" xfId="2979"/>
    <cellStyle name="Millares 12 17" xfId="3115"/>
    <cellStyle name="Millares 12 18" xfId="3250"/>
    <cellStyle name="Millares 12 19" xfId="3393"/>
    <cellStyle name="Millares 12 2" xfId="152"/>
    <cellStyle name="Millares 12 2 2" xfId="1068"/>
    <cellStyle name="Millares 12 20" xfId="1027"/>
    <cellStyle name="Millares 12 3" xfId="287"/>
    <cellStyle name="Millares 12 3 2" xfId="1203"/>
    <cellStyle name="Millares 12 4" xfId="422"/>
    <cellStyle name="Millares 12 4 2" xfId="1338"/>
    <cellStyle name="Millares 12 5" xfId="555"/>
    <cellStyle name="Millares 12 5 2" xfId="1471"/>
    <cellStyle name="Millares 12 6" xfId="691"/>
    <cellStyle name="Millares 12 6 2" xfId="1607"/>
    <cellStyle name="Millares 12 7" xfId="831"/>
    <cellStyle name="Millares 12 7 2" xfId="1747"/>
    <cellStyle name="Millares 12 8" xfId="111"/>
    <cellStyle name="Millares 12 8 2" xfId="1881"/>
    <cellStyle name="Millares 12 9" xfId="2019"/>
    <cellStyle name="Millares 13" xfId="24"/>
    <cellStyle name="Millares 13 10" xfId="2158"/>
    <cellStyle name="Millares 13 11" xfId="2299"/>
    <cellStyle name="Millares 13 12" xfId="2436"/>
    <cellStyle name="Millares 13 13" xfId="2575"/>
    <cellStyle name="Millares 13 14" xfId="2709"/>
    <cellStyle name="Millares 13 15" xfId="2844"/>
    <cellStyle name="Millares 13 16" xfId="2980"/>
    <cellStyle name="Millares 13 17" xfId="3116"/>
    <cellStyle name="Millares 13 18" xfId="3251"/>
    <cellStyle name="Millares 13 19" xfId="3394"/>
    <cellStyle name="Millares 13 2" xfId="153"/>
    <cellStyle name="Millares 13 2 2" xfId="1069"/>
    <cellStyle name="Millares 13 20" xfId="1029"/>
    <cellStyle name="Millares 13 3" xfId="288"/>
    <cellStyle name="Millares 13 3 2" xfId="1204"/>
    <cellStyle name="Millares 13 4" xfId="423"/>
    <cellStyle name="Millares 13 4 2" xfId="1339"/>
    <cellStyle name="Millares 13 5" xfId="556"/>
    <cellStyle name="Millares 13 5 2" xfId="1472"/>
    <cellStyle name="Millares 13 6" xfId="692"/>
    <cellStyle name="Millares 13 6 2" xfId="1608"/>
    <cellStyle name="Millares 13 7" xfId="832"/>
    <cellStyle name="Millares 13 7 2" xfId="1748"/>
    <cellStyle name="Millares 13 8" xfId="113"/>
    <cellStyle name="Millares 13 8 2" xfId="1882"/>
    <cellStyle name="Millares 13 9" xfId="2020"/>
    <cellStyle name="Millares 14" xfId="26"/>
    <cellStyle name="Millares 14 10" xfId="2159"/>
    <cellStyle name="Millares 14 11" xfId="2300"/>
    <cellStyle name="Millares 14 12" xfId="2437"/>
    <cellStyle name="Millares 14 13" xfId="2576"/>
    <cellStyle name="Millares 14 14" xfId="2710"/>
    <cellStyle name="Millares 14 15" xfId="2845"/>
    <cellStyle name="Millares 14 16" xfId="2981"/>
    <cellStyle name="Millares 14 17" xfId="3117"/>
    <cellStyle name="Millares 14 18" xfId="3252"/>
    <cellStyle name="Millares 14 19" xfId="3395"/>
    <cellStyle name="Millares 14 2" xfId="154"/>
    <cellStyle name="Millares 14 2 2" xfId="1070"/>
    <cellStyle name="Millares 14 20" xfId="1030"/>
    <cellStyle name="Millares 14 3" xfId="289"/>
    <cellStyle name="Millares 14 3 2" xfId="1205"/>
    <cellStyle name="Millares 14 4" xfId="424"/>
    <cellStyle name="Millares 14 4 2" xfId="1340"/>
    <cellStyle name="Millares 14 5" xfId="557"/>
    <cellStyle name="Millares 14 5 2" xfId="1473"/>
    <cellStyle name="Millares 14 6" xfId="693"/>
    <cellStyle name="Millares 14 6 2" xfId="1609"/>
    <cellStyle name="Millares 14 7" xfId="833"/>
    <cellStyle name="Millares 14 7 2" xfId="1749"/>
    <cellStyle name="Millares 14 8" xfId="114"/>
    <cellStyle name="Millares 14 8 2" xfId="1883"/>
    <cellStyle name="Millares 14 9" xfId="2021"/>
    <cellStyle name="Millares 15" xfId="155"/>
    <cellStyle name="Millares 15 10" xfId="2301"/>
    <cellStyle name="Millares 15 11" xfId="2438"/>
    <cellStyle name="Millares 15 12" xfId="2577"/>
    <cellStyle name="Millares 15 13" xfId="2711"/>
    <cellStyle name="Millares 15 14" xfId="2846"/>
    <cellStyle name="Millares 15 15" xfId="2982"/>
    <cellStyle name="Millares 15 16" xfId="3118"/>
    <cellStyle name="Millares 15 17" xfId="3253"/>
    <cellStyle name="Millares 15 18" xfId="3396"/>
    <cellStyle name="Millares 15 19" xfId="1071"/>
    <cellStyle name="Millares 15 2" xfId="290"/>
    <cellStyle name="Millares 15 2 2" xfId="1206"/>
    <cellStyle name="Millares 15 3" xfId="425"/>
    <cellStyle name="Millares 15 3 2" xfId="1341"/>
    <cellStyle name="Millares 15 4" xfId="558"/>
    <cellStyle name="Millares 15 4 2" xfId="1474"/>
    <cellStyle name="Millares 15 5" xfId="694"/>
    <cellStyle name="Millares 15 5 2" xfId="1610"/>
    <cellStyle name="Millares 15 6" xfId="834"/>
    <cellStyle name="Millares 15 6 2" xfId="1750"/>
    <cellStyle name="Millares 15 7" xfId="1884"/>
    <cellStyle name="Millares 15 8" xfId="2022"/>
    <cellStyle name="Millares 15 9" xfId="2160"/>
    <cellStyle name="Millares 16" xfId="124"/>
    <cellStyle name="Millares 16 2" xfId="1040"/>
    <cellStyle name="Millares 17" xfId="257"/>
    <cellStyle name="Millares 17 2" xfId="1173"/>
    <cellStyle name="Millares 18" xfId="258"/>
    <cellStyle name="Millares 18 2" xfId="1174"/>
    <cellStyle name="Millares 19" xfId="259"/>
    <cellStyle name="Millares 19 2" xfId="1175"/>
    <cellStyle name="Millares 2" xfId="6"/>
    <cellStyle name="Millares 2 2" xfId="5"/>
    <cellStyle name="Millares 2 2 10" xfId="156"/>
    <cellStyle name="Millares 2 2 10 2" xfId="1072"/>
    <cellStyle name="Millares 2 2 11" xfId="291"/>
    <cellStyle name="Millares 2 2 11 2" xfId="1207"/>
    <cellStyle name="Millares 2 2 12" xfId="426"/>
    <cellStyle name="Millares 2 2 12 2" xfId="1342"/>
    <cellStyle name="Millares 2 2 13" xfId="559"/>
    <cellStyle name="Millares 2 2 13 2" xfId="1475"/>
    <cellStyle name="Millares 2 2 14" xfId="695"/>
    <cellStyle name="Millares 2 2 14 2" xfId="1611"/>
    <cellStyle name="Millares 2 2 15" xfId="835"/>
    <cellStyle name="Millares 2 2 15 2" xfId="1751"/>
    <cellStyle name="Millares 2 2 16" xfId="29"/>
    <cellStyle name="Millares 2 2 16 2" xfId="1885"/>
    <cellStyle name="Millares 2 2 17" xfId="2023"/>
    <cellStyle name="Millares 2 2 18" xfId="2161"/>
    <cellStyle name="Millares 2 2 19" xfId="2302"/>
    <cellStyle name="Millares 2 2 2" xfId="13"/>
    <cellStyle name="Millares 2 2 2 10" xfId="560"/>
    <cellStyle name="Millares 2 2 2 10 2" xfId="1476"/>
    <cellStyle name="Millares 2 2 2 11" xfId="696"/>
    <cellStyle name="Millares 2 2 2 11 2" xfId="1612"/>
    <cellStyle name="Millares 2 2 2 12" xfId="836"/>
    <cellStyle name="Millares 2 2 2 12 2" xfId="1752"/>
    <cellStyle name="Millares 2 2 2 13" xfId="38"/>
    <cellStyle name="Millares 2 2 2 13 2" xfId="1886"/>
    <cellStyle name="Millares 2 2 2 14" xfId="2024"/>
    <cellStyle name="Millares 2 2 2 15" xfId="2162"/>
    <cellStyle name="Millares 2 2 2 16" xfId="2303"/>
    <cellStyle name="Millares 2 2 2 17" xfId="2440"/>
    <cellStyle name="Millares 2 2 2 18" xfId="2579"/>
    <cellStyle name="Millares 2 2 2 19" xfId="2713"/>
    <cellStyle name="Millares 2 2 2 2" xfId="48"/>
    <cellStyle name="Millares 2 2 2 2 10" xfId="837"/>
    <cellStyle name="Millares 2 2 2 2 10 2" xfId="1753"/>
    <cellStyle name="Millares 2 2 2 2 11" xfId="1887"/>
    <cellStyle name="Millares 2 2 2 2 12" xfId="2025"/>
    <cellStyle name="Millares 2 2 2 2 13" xfId="2163"/>
    <cellStyle name="Millares 2 2 2 2 14" xfId="2304"/>
    <cellStyle name="Millares 2 2 2 2 15" xfId="2441"/>
    <cellStyle name="Millares 2 2 2 2 16" xfId="2580"/>
    <cellStyle name="Millares 2 2 2 2 17" xfId="2714"/>
    <cellStyle name="Millares 2 2 2 2 18" xfId="2849"/>
    <cellStyle name="Millares 2 2 2 2 19" xfId="2985"/>
    <cellStyle name="Millares 2 2 2 2 2" xfId="105"/>
    <cellStyle name="Millares 2 2 2 2 2 10" xfId="2164"/>
    <cellStyle name="Millares 2 2 2 2 2 11" xfId="2305"/>
    <cellStyle name="Millares 2 2 2 2 2 12" xfId="2442"/>
    <cellStyle name="Millares 2 2 2 2 2 13" xfId="2581"/>
    <cellStyle name="Millares 2 2 2 2 2 14" xfId="2715"/>
    <cellStyle name="Millares 2 2 2 2 2 15" xfId="2850"/>
    <cellStyle name="Millares 2 2 2 2 2 16" xfId="2986"/>
    <cellStyle name="Millares 2 2 2 2 2 17" xfId="3122"/>
    <cellStyle name="Millares 2 2 2 2 2 18" xfId="3257"/>
    <cellStyle name="Millares 2 2 2 2 2 19" xfId="3400"/>
    <cellStyle name="Millares 2 2 2 2 2 2" xfId="159"/>
    <cellStyle name="Millares 2 2 2 2 2 2 2" xfId="1075"/>
    <cellStyle name="Millares 2 2 2 2 2 20" xfId="1021"/>
    <cellStyle name="Millares 2 2 2 2 2 3" xfId="294"/>
    <cellStyle name="Millares 2 2 2 2 2 3 2" xfId="1210"/>
    <cellStyle name="Millares 2 2 2 2 2 4" xfId="429"/>
    <cellStyle name="Millares 2 2 2 2 2 4 2" xfId="1345"/>
    <cellStyle name="Millares 2 2 2 2 2 5" xfId="562"/>
    <cellStyle name="Millares 2 2 2 2 2 5 2" xfId="1478"/>
    <cellStyle name="Millares 2 2 2 2 2 6" xfId="698"/>
    <cellStyle name="Millares 2 2 2 2 2 6 2" xfId="1614"/>
    <cellStyle name="Millares 2 2 2 2 2 7" xfId="838"/>
    <cellStyle name="Millares 2 2 2 2 2 7 2" xfId="1754"/>
    <cellStyle name="Millares 2 2 2 2 2 8" xfId="1888"/>
    <cellStyle name="Millares 2 2 2 2 2 9" xfId="2026"/>
    <cellStyle name="Millares 2 2 2 2 20" xfId="3121"/>
    <cellStyle name="Millares 2 2 2 2 21" xfId="3256"/>
    <cellStyle name="Millares 2 2 2 2 22" xfId="3399"/>
    <cellStyle name="Millares 2 2 2 2 23" xfId="964"/>
    <cellStyle name="Millares 2 2 2 2 3" xfId="79"/>
    <cellStyle name="Millares 2 2 2 2 3 10" xfId="2165"/>
    <cellStyle name="Millares 2 2 2 2 3 11" xfId="2306"/>
    <cellStyle name="Millares 2 2 2 2 3 12" xfId="2443"/>
    <cellStyle name="Millares 2 2 2 2 3 13" xfId="2582"/>
    <cellStyle name="Millares 2 2 2 2 3 14" xfId="2716"/>
    <cellStyle name="Millares 2 2 2 2 3 15" xfId="2851"/>
    <cellStyle name="Millares 2 2 2 2 3 16" xfId="2987"/>
    <cellStyle name="Millares 2 2 2 2 3 17" xfId="3123"/>
    <cellStyle name="Millares 2 2 2 2 3 18" xfId="3258"/>
    <cellStyle name="Millares 2 2 2 2 3 19" xfId="3401"/>
    <cellStyle name="Millares 2 2 2 2 3 2" xfId="160"/>
    <cellStyle name="Millares 2 2 2 2 3 2 2" xfId="1076"/>
    <cellStyle name="Millares 2 2 2 2 3 20" xfId="995"/>
    <cellStyle name="Millares 2 2 2 2 3 3" xfId="295"/>
    <cellStyle name="Millares 2 2 2 2 3 3 2" xfId="1211"/>
    <cellStyle name="Millares 2 2 2 2 3 4" xfId="430"/>
    <cellStyle name="Millares 2 2 2 2 3 4 2" xfId="1346"/>
    <cellStyle name="Millares 2 2 2 2 3 5" xfId="563"/>
    <cellStyle name="Millares 2 2 2 2 3 5 2" xfId="1479"/>
    <cellStyle name="Millares 2 2 2 2 3 6" xfId="699"/>
    <cellStyle name="Millares 2 2 2 2 3 6 2" xfId="1615"/>
    <cellStyle name="Millares 2 2 2 2 3 7" xfId="839"/>
    <cellStyle name="Millares 2 2 2 2 3 7 2" xfId="1755"/>
    <cellStyle name="Millares 2 2 2 2 3 8" xfId="1889"/>
    <cellStyle name="Millares 2 2 2 2 3 9" xfId="2027"/>
    <cellStyle name="Millares 2 2 2 2 4" xfId="161"/>
    <cellStyle name="Millares 2 2 2 2 4 10" xfId="2307"/>
    <cellStyle name="Millares 2 2 2 2 4 11" xfId="2444"/>
    <cellStyle name="Millares 2 2 2 2 4 12" xfId="2583"/>
    <cellStyle name="Millares 2 2 2 2 4 13" xfId="2717"/>
    <cellStyle name="Millares 2 2 2 2 4 14" xfId="2852"/>
    <cellStyle name="Millares 2 2 2 2 4 15" xfId="2988"/>
    <cellStyle name="Millares 2 2 2 2 4 16" xfId="3124"/>
    <cellStyle name="Millares 2 2 2 2 4 17" xfId="3259"/>
    <cellStyle name="Millares 2 2 2 2 4 18" xfId="3402"/>
    <cellStyle name="Millares 2 2 2 2 4 19" xfId="1077"/>
    <cellStyle name="Millares 2 2 2 2 4 2" xfId="296"/>
    <cellStyle name="Millares 2 2 2 2 4 2 2" xfId="1212"/>
    <cellStyle name="Millares 2 2 2 2 4 3" xfId="431"/>
    <cellStyle name="Millares 2 2 2 2 4 3 2" xfId="1347"/>
    <cellStyle name="Millares 2 2 2 2 4 4" xfId="564"/>
    <cellStyle name="Millares 2 2 2 2 4 4 2" xfId="1480"/>
    <cellStyle name="Millares 2 2 2 2 4 5" xfId="700"/>
    <cellStyle name="Millares 2 2 2 2 4 5 2" xfId="1616"/>
    <cellStyle name="Millares 2 2 2 2 4 6" xfId="840"/>
    <cellStyle name="Millares 2 2 2 2 4 6 2" xfId="1756"/>
    <cellStyle name="Millares 2 2 2 2 4 7" xfId="1890"/>
    <cellStyle name="Millares 2 2 2 2 4 8" xfId="2028"/>
    <cellStyle name="Millares 2 2 2 2 4 9" xfId="2166"/>
    <cellStyle name="Millares 2 2 2 2 5" xfId="158"/>
    <cellStyle name="Millares 2 2 2 2 5 2" xfId="1074"/>
    <cellStyle name="Millares 2 2 2 2 6" xfId="293"/>
    <cellStyle name="Millares 2 2 2 2 6 2" xfId="1209"/>
    <cellStyle name="Millares 2 2 2 2 7" xfId="428"/>
    <cellStyle name="Millares 2 2 2 2 7 2" xfId="1344"/>
    <cellStyle name="Millares 2 2 2 2 8" xfId="561"/>
    <cellStyle name="Millares 2 2 2 2 8 2" xfId="1477"/>
    <cellStyle name="Millares 2 2 2 2 9" xfId="697"/>
    <cellStyle name="Millares 2 2 2 2 9 2" xfId="1613"/>
    <cellStyle name="Millares 2 2 2 20" xfId="2848"/>
    <cellStyle name="Millares 2 2 2 21" xfId="2984"/>
    <cellStyle name="Millares 2 2 2 22" xfId="3120"/>
    <cellStyle name="Millares 2 2 2 23" xfId="3255"/>
    <cellStyle name="Millares 2 2 2 24" xfId="3398"/>
    <cellStyle name="Millares 2 2 2 25" xfId="954"/>
    <cellStyle name="Millares 2 2 2 3" xfId="95"/>
    <cellStyle name="Millares 2 2 2 3 10" xfId="2029"/>
    <cellStyle name="Millares 2 2 2 3 11" xfId="2167"/>
    <cellStyle name="Millares 2 2 2 3 12" xfId="2308"/>
    <cellStyle name="Millares 2 2 2 3 13" xfId="2445"/>
    <cellStyle name="Millares 2 2 2 3 14" xfId="2584"/>
    <cellStyle name="Millares 2 2 2 3 15" xfId="2718"/>
    <cellStyle name="Millares 2 2 2 3 16" xfId="2853"/>
    <cellStyle name="Millares 2 2 2 3 17" xfId="2989"/>
    <cellStyle name="Millares 2 2 2 3 18" xfId="3125"/>
    <cellStyle name="Millares 2 2 2 3 19" xfId="3260"/>
    <cellStyle name="Millares 2 2 2 3 2" xfId="163"/>
    <cellStyle name="Millares 2 2 2 3 2 10" xfId="2309"/>
    <cellStyle name="Millares 2 2 2 3 2 11" xfId="2446"/>
    <cellStyle name="Millares 2 2 2 3 2 12" xfId="2585"/>
    <cellStyle name="Millares 2 2 2 3 2 13" xfId="2719"/>
    <cellStyle name="Millares 2 2 2 3 2 14" xfId="2854"/>
    <cellStyle name="Millares 2 2 2 3 2 15" xfId="2990"/>
    <cellStyle name="Millares 2 2 2 3 2 16" xfId="3126"/>
    <cellStyle name="Millares 2 2 2 3 2 17" xfId="3261"/>
    <cellStyle name="Millares 2 2 2 3 2 18" xfId="3404"/>
    <cellStyle name="Millares 2 2 2 3 2 19" xfId="1079"/>
    <cellStyle name="Millares 2 2 2 3 2 2" xfId="298"/>
    <cellStyle name="Millares 2 2 2 3 2 2 2" xfId="1214"/>
    <cellStyle name="Millares 2 2 2 3 2 3" xfId="433"/>
    <cellStyle name="Millares 2 2 2 3 2 3 2" xfId="1349"/>
    <cellStyle name="Millares 2 2 2 3 2 4" xfId="566"/>
    <cellStyle name="Millares 2 2 2 3 2 4 2" xfId="1482"/>
    <cellStyle name="Millares 2 2 2 3 2 5" xfId="702"/>
    <cellStyle name="Millares 2 2 2 3 2 5 2" xfId="1618"/>
    <cellStyle name="Millares 2 2 2 3 2 6" xfId="842"/>
    <cellStyle name="Millares 2 2 2 3 2 6 2" xfId="1758"/>
    <cellStyle name="Millares 2 2 2 3 2 7" xfId="1892"/>
    <cellStyle name="Millares 2 2 2 3 2 8" xfId="2030"/>
    <cellStyle name="Millares 2 2 2 3 2 9" xfId="2168"/>
    <cellStyle name="Millares 2 2 2 3 20" xfId="3403"/>
    <cellStyle name="Millares 2 2 2 3 21" xfId="1011"/>
    <cellStyle name="Millares 2 2 2 3 3" xfId="162"/>
    <cellStyle name="Millares 2 2 2 3 3 2" xfId="1078"/>
    <cellStyle name="Millares 2 2 2 3 4" xfId="297"/>
    <cellStyle name="Millares 2 2 2 3 4 2" xfId="1213"/>
    <cellStyle name="Millares 2 2 2 3 5" xfId="432"/>
    <cellStyle name="Millares 2 2 2 3 5 2" xfId="1348"/>
    <cellStyle name="Millares 2 2 2 3 6" xfId="565"/>
    <cellStyle name="Millares 2 2 2 3 6 2" xfId="1481"/>
    <cellStyle name="Millares 2 2 2 3 7" xfId="701"/>
    <cellStyle name="Millares 2 2 2 3 7 2" xfId="1617"/>
    <cellStyle name="Millares 2 2 2 3 8" xfId="841"/>
    <cellStyle name="Millares 2 2 2 3 8 2" xfId="1757"/>
    <cellStyle name="Millares 2 2 2 3 9" xfId="1891"/>
    <cellStyle name="Millares 2 2 2 4" xfId="69"/>
    <cellStyle name="Millares 2 2 2 4 10" xfId="2169"/>
    <cellStyle name="Millares 2 2 2 4 11" xfId="2310"/>
    <cellStyle name="Millares 2 2 2 4 12" xfId="2447"/>
    <cellStyle name="Millares 2 2 2 4 13" xfId="2586"/>
    <cellStyle name="Millares 2 2 2 4 14" xfId="2720"/>
    <cellStyle name="Millares 2 2 2 4 15" xfId="2855"/>
    <cellStyle name="Millares 2 2 2 4 16" xfId="2991"/>
    <cellStyle name="Millares 2 2 2 4 17" xfId="3127"/>
    <cellStyle name="Millares 2 2 2 4 18" xfId="3262"/>
    <cellStyle name="Millares 2 2 2 4 19" xfId="3405"/>
    <cellStyle name="Millares 2 2 2 4 2" xfId="164"/>
    <cellStyle name="Millares 2 2 2 4 2 2" xfId="1080"/>
    <cellStyle name="Millares 2 2 2 4 20" xfId="985"/>
    <cellStyle name="Millares 2 2 2 4 3" xfId="299"/>
    <cellStyle name="Millares 2 2 2 4 3 2" xfId="1215"/>
    <cellStyle name="Millares 2 2 2 4 4" xfId="434"/>
    <cellStyle name="Millares 2 2 2 4 4 2" xfId="1350"/>
    <cellStyle name="Millares 2 2 2 4 5" xfId="567"/>
    <cellStyle name="Millares 2 2 2 4 5 2" xfId="1483"/>
    <cellStyle name="Millares 2 2 2 4 6" xfId="703"/>
    <cellStyle name="Millares 2 2 2 4 6 2" xfId="1619"/>
    <cellStyle name="Millares 2 2 2 4 7" xfId="843"/>
    <cellStyle name="Millares 2 2 2 4 7 2" xfId="1759"/>
    <cellStyle name="Millares 2 2 2 4 8" xfId="1893"/>
    <cellStyle name="Millares 2 2 2 4 9" xfId="2031"/>
    <cellStyle name="Millares 2 2 2 5" xfId="123"/>
    <cellStyle name="Millares 2 2 2 5 10" xfId="2170"/>
    <cellStyle name="Millares 2 2 2 5 11" xfId="2311"/>
    <cellStyle name="Millares 2 2 2 5 12" xfId="2448"/>
    <cellStyle name="Millares 2 2 2 5 13" xfId="2587"/>
    <cellStyle name="Millares 2 2 2 5 14" xfId="2721"/>
    <cellStyle name="Millares 2 2 2 5 15" xfId="2856"/>
    <cellStyle name="Millares 2 2 2 5 16" xfId="2992"/>
    <cellStyle name="Millares 2 2 2 5 17" xfId="3128"/>
    <cellStyle name="Millares 2 2 2 5 18" xfId="3263"/>
    <cellStyle name="Millares 2 2 2 5 19" xfId="3406"/>
    <cellStyle name="Millares 2 2 2 5 2" xfId="165"/>
    <cellStyle name="Millares 2 2 2 5 2 2" xfId="1081"/>
    <cellStyle name="Millares 2 2 2 5 20" xfId="1039"/>
    <cellStyle name="Millares 2 2 2 5 3" xfId="300"/>
    <cellStyle name="Millares 2 2 2 5 3 2" xfId="1216"/>
    <cellStyle name="Millares 2 2 2 5 4" xfId="435"/>
    <cellStyle name="Millares 2 2 2 5 4 2" xfId="1351"/>
    <cellStyle name="Millares 2 2 2 5 5" xfId="568"/>
    <cellStyle name="Millares 2 2 2 5 5 2" xfId="1484"/>
    <cellStyle name="Millares 2 2 2 5 6" xfId="704"/>
    <cellStyle name="Millares 2 2 2 5 6 2" xfId="1620"/>
    <cellStyle name="Millares 2 2 2 5 7" xfId="844"/>
    <cellStyle name="Millares 2 2 2 5 7 2" xfId="1760"/>
    <cellStyle name="Millares 2 2 2 5 8" xfId="1894"/>
    <cellStyle name="Millares 2 2 2 5 9" xfId="2032"/>
    <cellStyle name="Millares 2 2 2 6" xfId="166"/>
    <cellStyle name="Millares 2 2 2 6 10" xfId="2312"/>
    <cellStyle name="Millares 2 2 2 6 11" xfId="2449"/>
    <cellStyle name="Millares 2 2 2 6 12" xfId="2588"/>
    <cellStyle name="Millares 2 2 2 6 13" xfId="2722"/>
    <cellStyle name="Millares 2 2 2 6 14" xfId="2857"/>
    <cellStyle name="Millares 2 2 2 6 15" xfId="2993"/>
    <cellStyle name="Millares 2 2 2 6 16" xfId="3129"/>
    <cellStyle name="Millares 2 2 2 6 17" xfId="3264"/>
    <cellStyle name="Millares 2 2 2 6 18" xfId="3407"/>
    <cellStyle name="Millares 2 2 2 6 19" xfId="1082"/>
    <cellStyle name="Millares 2 2 2 6 2" xfId="301"/>
    <cellStyle name="Millares 2 2 2 6 2 2" xfId="1217"/>
    <cellStyle name="Millares 2 2 2 6 3" xfId="436"/>
    <cellStyle name="Millares 2 2 2 6 3 2" xfId="1352"/>
    <cellStyle name="Millares 2 2 2 6 4" xfId="569"/>
    <cellStyle name="Millares 2 2 2 6 4 2" xfId="1485"/>
    <cellStyle name="Millares 2 2 2 6 5" xfId="705"/>
    <cellStyle name="Millares 2 2 2 6 5 2" xfId="1621"/>
    <cellStyle name="Millares 2 2 2 6 6" xfId="845"/>
    <cellStyle name="Millares 2 2 2 6 6 2" xfId="1761"/>
    <cellStyle name="Millares 2 2 2 6 7" xfId="1895"/>
    <cellStyle name="Millares 2 2 2 6 8" xfId="2033"/>
    <cellStyle name="Millares 2 2 2 6 9" xfId="2171"/>
    <cellStyle name="Millares 2 2 2 7" xfId="157"/>
    <cellStyle name="Millares 2 2 2 7 2" xfId="1073"/>
    <cellStyle name="Millares 2 2 2 8" xfId="292"/>
    <cellStyle name="Millares 2 2 2 8 2" xfId="1208"/>
    <cellStyle name="Millares 2 2 2 9" xfId="427"/>
    <cellStyle name="Millares 2 2 2 9 2" xfId="1343"/>
    <cellStyle name="Millares 2 2 20" xfId="2439"/>
    <cellStyle name="Millares 2 2 21" xfId="2578"/>
    <cellStyle name="Millares 2 2 22" xfId="2712"/>
    <cellStyle name="Millares 2 2 23" xfId="2847"/>
    <cellStyle name="Millares 2 2 24" xfId="2983"/>
    <cellStyle name="Millares 2 2 25" xfId="3119"/>
    <cellStyle name="Millares 2 2 26" xfId="3254"/>
    <cellStyle name="Millares 2 2 27" xfId="3397"/>
    <cellStyle name="Millares 2 2 28" xfId="945"/>
    <cellStyle name="Millares 2 2 3" xfId="37"/>
    <cellStyle name="Millares 2 2 3 10" xfId="846"/>
    <cellStyle name="Millares 2 2 3 10 2" xfId="1762"/>
    <cellStyle name="Millares 2 2 3 11" xfId="1896"/>
    <cellStyle name="Millares 2 2 3 12" xfId="2034"/>
    <cellStyle name="Millares 2 2 3 13" xfId="2172"/>
    <cellStyle name="Millares 2 2 3 14" xfId="2313"/>
    <cellStyle name="Millares 2 2 3 15" xfId="2450"/>
    <cellStyle name="Millares 2 2 3 16" xfId="2589"/>
    <cellStyle name="Millares 2 2 3 17" xfId="2723"/>
    <cellStyle name="Millares 2 2 3 18" xfId="2858"/>
    <cellStyle name="Millares 2 2 3 19" xfId="2994"/>
    <cellStyle name="Millares 2 2 3 2" xfId="94"/>
    <cellStyle name="Millares 2 2 3 2 10" xfId="2173"/>
    <cellStyle name="Millares 2 2 3 2 11" xfId="2314"/>
    <cellStyle name="Millares 2 2 3 2 12" xfId="2451"/>
    <cellStyle name="Millares 2 2 3 2 13" xfId="2590"/>
    <cellStyle name="Millares 2 2 3 2 14" xfId="2724"/>
    <cellStyle name="Millares 2 2 3 2 15" xfId="2859"/>
    <cellStyle name="Millares 2 2 3 2 16" xfId="2995"/>
    <cellStyle name="Millares 2 2 3 2 17" xfId="3131"/>
    <cellStyle name="Millares 2 2 3 2 18" xfId="3266"/>
    <cellStyle name="Millares 2 2 3 2 19" xfId="3409"/>
    <cellStyle name="Millares 2 2 3 2 2" xfId="168"/>
    <cellStyle name="Millares 2 2 3 2 2 2" xfId="1084"/>
    <cellStyle name="Millares 2 2 3 2 20" xfId="1010"/>
    <cellStyle name="Millares 2 2 3 2 3" xfId="303"/>
    <cellStyle name="Millares 2 2 3 2 3 2" xfId="1219"/>
    <cellStyle name="Millares 2 2 3 2 4" xfId="438"/>
    <cellStyle name="Millares 2 2 3 2 4 2" xfId="1354"/>
    <cellStyle name="Millares 2 2 3 2 5" xfId="571"/>
    <cellStyle name="Millares 2 2 3 2 5 2" xfId="1487"/>
    <cellStyle name="Millares 2 2 3 2 6" xfId="707"/>
    <cellStyle name="Millares 2 2 3 2 6 2" xfId="1623"/>
    <cellStyle name="Millares 2 2 3 2 7" xfId="847"/>
    <cellStyle name="Millares 2 2 3 2 7 2" xfId="1763"/>
    <cellStyle name="Millares 2 2 3 2 8" xfId="1897"/>
    <cellStyle name="Millares 2 2 3 2 9" xfId="2035"/>
    <cellStyle name="Millares 2 2 3 20" xfId="3130"/>
    <cellStyle name="Millares 2 2 3 21" xfId="3265"/>
    <cellStyle name="Millares 2 2 3 22" xfId="3408"/>
    <cellStyle name="Millares 2 2 3 23" xfId="953"/>
    <cellStyle name="Millares 2 2 3 3" xfId="68"/>
    <cellStyle name="Millares 2 2 3 3 10" xfId="2174"/>
    <cellStyle name="Millares 2 2 3 3 11" xfId="2315"/>
    <cellStyle name="Millares 2 2 3 3 12" xfId="2452"/>
    <cellStyle name="Millares 2 2 3 3 13" xfId="2591"/>
    <cellStyle name="Millares 2 2 3 3 14" xfId="2725"/>
    <cellStyle name="Millares 2 2 3 3 15" xfId="2860"/>
    <cellStyle name="Millares 2 2 3 3 16" xfId="2996"/>
    <cellStyle name="Millares 2 2 3 3 17" xfId="3132"/>
    <cellStyle name="Millares 2 2 3 3 18" xfId="3267"/>
    <cellStyle name="Millares 2 2 3 3 19" xfId="3410"/>
    <cellStyle name="Millares 2 2 3 3 2" xfId="169"/>
    <cellStyle name="Millares 2 2 3 3 2 2" xfId="1085"/>
    <cellStyle name="Millares 2 2 3 3 20" xfId="984"/>
    <cellStyle name="Millares 2 2 3 3 3" xfId="304"/>
    <cellStyle name="Millares 2 2 3 3 3 2" xfId="1220"/>
    <cellStyle name="Millares 2 2 3 3 4" xfId="439"/>
    <cellStyle name="Millares 2 2 3 3 4 2" xfId="1355"/>
    <cellStyle name="Millares 2 2 3 3 5" xfId="572"/>
    <cellStyle name="Millares 2 2 3 3 5 2" xfId="1488"/>
    <cellStyle name="Millares 2 2 3 3 6" xfId="708"/>
    <cellStyle name="Millares 2 2 3 3 6 2" xfId="1624"/>
    <cellStyle name="Millares 2 2 3 3 7" xfId="848"/>
    <cellStyle name="Millares 2 2 3 3 7 2" xfId="1764"/>
    <cellStyle name="Millares 2 2 3 3 8" xfId="1898"/>
    <cellStyle name="Millares 2 2 3 3 9" xfId="2036"/>
    <cellStyle name="Millares 2 2 3 4" xfId="170"/>
    <cellStyle name="Millares 2 2 3 4 10" xfId="2316"/>
    <cellStyle name="Millares 2 2 3 4 11" xfId="2453"/>
    <cellStyle name="Millares 2 2 3 4 12" xfId="2592"/>
    <cellStyle name="Millares 2 2 3 4 13" xfId="2726"/>
    <cellStyle name="Millares 2 2 3 4 14" xfId="2861"/>
    <cellStyle name="Millares 2 2 3 4 15" xfId="2997"/>
    <cellStyle name="Millares 2 2 3 4 16" xfId="3133"/>
    <cellStyle name="Millares 2 2 3 4 17" xfId="3268"/>
    <cellStyle name="Millares 2 2 3 4 18" xfId="3411"/>
    <cellStyle name="Millares 2 2 3 4 19" xfId="1086"/>
    <cellStyle name="Millares 2 2 3 4 2" xfId="305"/>
    <cellStyle name="Millares 2 2 3 4 2 2" xfId="1221"/>
    <cellStyle name="Millares 2 2 3 4 3" xfId="440"/>
    <cellStyle name="Millares 2 2 3 4 3 2" xfId="1356"/>
    <cellStyle name="Millares 2 2 3 4 4" xfId="573"/>
    <cellStyle name="Millares 2 2 3 4 4 2" xfId="1489"/>
    <cellStyle name="Millares 2 2 3 4 5" xfId="709"/>
    <cellStyle name="Millares 2 2 3 4 5 2" xfId="1625"/>
    <cellStyle name="Millares 2 2 3 4 6" xfId="849"/>
    <cellStyle name="Millares 2 2 3 4 6 2" xfId="1765"/>
    <cellStyle name="Millares 2 2 3 4 7" xfId="1899"/>
    <cellStyle name="Millares 2 2 3 4 8" xfId="2037"/>
    <cellStyle name="Millares 2 2 3 4 9" xfId="2175"/>
    <cellStyle name="Millares 2 2 3 5" xfId="167"/>
    <cellStyle name="Millares 2 2 3 5 2" xfId="1083"/>
    <cellStyle name="Millares 2 2 3 6" xfId="302"/>
    <cellStyle name="Millares 2 2 3 6 2" xfId="1218"/>
    <cellStyle name="Millares 2 2 3 7" xfId="437"/>
    <cellStyle name="Millares 2 2 3 7 2" xfId="1353"/>
    <cellStyle name="Millares 2 2 3 8" xfId="570"/>
    <cellStyle name="Millares 2 2 3 8 2" xfId="1486"/>
    <cellStyle name="Millares 2 2 3 9" xfId="706"/>
    <cellStyle name="Millares 2 2 3 9 2" xfId="1622"/>
    <cellStyle name="Millares 2 2 4" xfId="47"/>
    <cellStyle name="Millares 2 2 4 10" xfId="850"/>
    <cellStyle name="Millares 2 2 4 10 2" xfId="1766"/>
    <cellStyle name="Millares 2 2 4 11" xfId="1900"/>
    <cellStyle name="Millares 2 2 4 12" xfId="2038"/>
    <cellStyle name="Millares 2 2 4 13" xfId="2176"/>
    <cellStyle name="Millares 2 2 4 14" xfId="2317"/>
    <cellStyle name="Millares 2 2 4 15" xfId="2454"/>
    <cellStyle name="Millares 2 2 4 16" xfId="2593"/>
    <cellStyle name="Millares 2 2 4 17" xfId="2727"/>
    <cellStyle name="Millares 2 2 4 18" xfId="2862"/>
    <cellStyle name="Millares 2 2 4 19" xfId="2998"/>
    <cellStyle name="Millares 2 2 4 2" xfId="104"/>
    <cellStyle name="Millares 2 2 4 2 10" xfId="2177"/>
    <cellStyle name="Millares 2 2 4 2 11" xfId="2318"/>
    <cellStyle name="Millares 2 2 4 2 12" xfId="2455"/>
    <cellStyle name="Millares 2 2 4 2 13" xfId="2594"/>
    <cellStyle name="Millares 2 2 4 2 14" xfId="2728"/>
    <cellStyle name="Millares 2 2 4 2 15" xfId="2863"/>
    <cellStyle name="Millares 2 2 4 2 16" xfId="2999"/>
    <cellStyle name="Millares 2 2 4 2 17" xfId="3135"/>
    <cellStyle name="Millares 2 2 4 2 18" xfId="3270"/>
    <cellStyle name="Millares 2 2 4 2 19" xfId="3413"/>
    <cellStyle name="Millares 2 2 4 2 2" xfId="172"/>
    <cellStyle name="Millares 2 2 4 2 2 2" xfId="1088"/>
    <cellStyle name="Millares 2 2 4 2 20" xfId="1020"/>
    <cellStyle name="Millares 2 2 4 2 3" xfId="307"/>
    <cellStyle name="Millares 2 2 4 2 3 2" xfId="1223"/>
    <cellStyle name="Millares 2 2 4 2 4" xfId="442"/>
    <cellStyle name="Millares 2 2 4 2 4 2" xfId="1358"/>
    <cellStyle name="Millares 2 2 4 2 5" xfId="575"/>
    <cellStyle name="Millares 2 2 4 2 5 2" xfId="1491"/>
    <cellStyle name="Millares 2 2 4 2 6" xfId="711"/>
    <cellStyle name="Millares 2 2 4 2 6 2" xfId="1627"/>
    <cellStyle name="Millares 2 2 4 2 7" xfId="851"/>
    <cellStyle name="Millares 2 2 4 2 7 2" xfId="1767"/>
    <cellStyle name="Millares 2 2 4 2 8" xfId="1901"/>
    <cellStyle name="Millares 2 2 4 2 9" xfId="2039"/>
    <cellStyle name="Millares 2 2 4 20" xfId="3134"/>
    <cellStyle name="Millares 2 2 4 21" xfId="3269"/>
    <cellStyle name="Millares 2 2 4 22" xfId="3412"/>
    <cellStyle name="Millares 2 2 4 23" xfId="963"/>
    <cellStyle name="Millares 2 2 4 3" xfId="78"/>
    <cellStyle name="Millares 2 2 4 3 10" xfId="2178"/>
    <cellStyle name="Millares 2 2 4 3 11" xfId="2319"/>
    <cellStyle name="Millares 2 2 4 3 12" xfId="2456"/>
    <cellStyle name="Millares 2 2 4 3 13" xfId="2595"/>
    <cellStyle name="Millares 2 2 4 3 14" xfId="2729"/>
    <cellStyle name="Millares 2 2 4 3 15" xfId="2864"/>
    <cellStyle name="Millares 2 2 4 3 16" xfId="3000"/>
    <cellStyle name="Millares 2 2 4 3 17" xfId="3136"/>
    <cellStyle name="Millares 2 2 4 3 18" xfId="3271"/>
    <cellStyle name="Millares 2 2 4 3 19" xfId="3414"/>
    <cellStyle name="Millares 2 2 4 3 2" xfId="173"/>
    <cellStyle name="Millares 2 2 4 3 2 2" xfId="1089"/>
    <cellStyle name="Millares 2 2 4 3 20" xfId="994"/>
    <cellStyle name="Millares 2 2 4 3 3" xfId="308"/>
    <cellStyle name="Millares 2 2 4 3 3 2" xfId="1224"/>
    <cellStyle name="Millares 2 2 4 3 4" xfId="443"/>
    <cellStyle name="Millares 2 2 4 3 4 2" xfId="1359"/>
    <cellStyle name="Millares 2 2 4 3 5" xfId="576"/>
    <cellStyle name="Millares 2 2 4 3 5 2" xfId="1492"/>
    <cellStyle name="Millares 2 2 4 3 6" xfId="712"/>
    <cellStyle name="Millares 2 2 4 3 6 2" xfId="1628"/>
    <cellStyle name="Millares 2 2 4 3 7" xfId="852"/>
    <cellStyle name="Millares 2 2 4 3 7 2" xfId="1768"/>
    <cellStyle name="Millares 2 2 4 3 8" xfId="1902"/>
    <cellStyle name="Millares 2 2 4 3 9" xfId="2040"/>
    <cellStyle name="Millares 2 2 4 4" xfId="174"/>
    <cellStyle name="Millares 2 2 4 4 10" xfId="2320"/>
    <cellStyle name="Millares 2 2 4 4 11" xfId="2457"/>
    <cellStyle name="Millares 2 2 4 4 12" xfId="2596"/>
    <cellStyle name="Millares 2 2 4 4 13" xfId="2730"/>
    <cellStyle name="Millares 2 2 4 4 14" xfId="2865"/>
    <cellStyle name="Millares 2 2 4 4 15" xfId="3001"/>
    <cellStyle name="Millares 2 2 4 4 16" xfId="3137"/>
    <cellStyle name="Millares 2 2 4 4 17" xfId="3272"/>
    <cellStyle name="Millares 2 2 4 4 18" xfId="3415"/>
    <cellStyle name="Millares 2 2 4 4 19" xfId="1090"/>
    <cellStyle name="Millares 2 2 4 4 2" xfId="309"/>
    <cellStyle name="Millares 2 2 4 4 2 2" xfId="1225"/>
    <cellStyle name="Millares 2 2 4 4 3" xfId="444"/>
    <cellStyle name="Millares 2 2 4 4 3 2" xfId="1360"/>
    <cellStyle name="Millares 2 2 4 4 4" xfId="577"/>
    <cellStyle name="Millares 2 2 4 4 4 2" xfId="1493"/>
    <cellStyle name="Millares 2 2 4 4 5" xfId="713"/>
    <cellStyle name="Millares 2 2 4 4 5 2" xfId="1629"/>
    <cellStyle name="Millares 2 2 4 4 6" xfId="853"/>
    <cellStyle name="Millares 2 2 4 4 6 2" xfId="1769"/>
    <cellStyle name="Millares 2 2 4 4 7" xfId="1903"/>
    <cellStyle name="Millares 2 2 4 4 8" xfId="2041"/>
    <cellStyle name="Millares 2 2 4 4 9" xfId="2179"/>
    <cellStyle name="Millares 2 2 4 5" xfId="171"/>
    <cellStyle name="Millares 2 2 4 5 2" xfId="1087"/>
    <cellStyle name="Millares 2 2 4 6" xfId="306"/>
    <cellStyle name="Millares 2 2 4 6 2" xfId="1222"/>
    <cellStyle name="Millares 2 2 4 7" xfId="441"/>
    <cellStyle name="Millares 2 2 4 7 2" xfId="1357"/>
    <cellStyle name="Millares 2 2 4 8" xfId="574"/>
    <cellStyle name="Millares 2 2 4 8 2" xfId="1490"/>
    <cellStyle name="Millares 2 2 4 9" xfId="710"/>
    <cellStyle name="Millares 2 2 4 9 2" xfId="1626"/>
    <cellStyle name="Millares 2 2 5" xfId="60"/>
    <cellStyle name="Millares 2 2 5 10" xfId="2042"/>
    <cellStyle name="Millares 2 2 5 11" xfId="2180"/>
    <cellStyle name="Millares 2 2 5 12" xfId="2321"/>
    <cellStyle name="Millares 2 2 5 13" xfId="2458"/>
    <cellStyle name="Millares 2 2 5 14" xfId="2597"/>
    <cellStyle name="Millares 2 2 5 15" xfId="2731"/>
    <cellStyle name="Millares 2 2 5 16" xfId="2866"/>
    <cellStyle name="Millares 2 2 5 17" xfId="3002"/>
    <cellStyle name="Millares 2 2 5 18" xfId="3138"/>
    <cellStyle name="Millares 2 2 5 19" xfId="3273"/>
    <cellStyle name="Millares 2 2 5 2" xfId="176"/>
    <cellStyle name="Millares 2 2 5 2 10" xfId="2322"/>
    <cellStyle name="Millares 2 2 5 2 11" xfId="2459"/>
    <cellStyle name="Millares 2 2 5 2 12" xfId="2598"/>
    <cellStyle name="Millares 2 2 5 2 13" xfId="2732"/>
    <cellStyle name="Millares 2 2 5 2 14" xfId="2867"/>
    <cellStyle name="Millares 2 2 5 2 15" xfId="3003"/>
    <cellStyle name="Millares 2 2 5 2 16" xfId="3139"/>
    <cellStyle name="Millares 2 2 5 2 17" xfId="3274"/>
    <cellStyle name="Millares 2 2 5 2 18" xfId="3417"/>
    <cellStyle name="Millares 2 2 5 2 19" xfId="1092"/>
    <cellStyle name="Millares 2 2 5 2 2" xfId="311"/>
    <cellStyle name="Millares 2 2 5 2 2 2" xfId="1227"/>
    <cellStyle name="Millares 2 2 5 2 3" xfId="446"/>
    <cellStyle name="Millares 2 2 5 2 3 2" xfId="1362"/>
    <cellStyle name="Millares 2 2 5 2 4" xfId="579"/>
    <cellStyle name="Millares 2 2 5 2 4 2" xfId="1495"/>
    <cellStyle name="Millares 2 2 5 2 5" xfId="715"/>
    <cellStyle name="Millares 2 2 5 2 5 2" xfId="1631"/>
    <cellStyle name="Millares 2 2 5 2 6" xfId="855"/>
    <cellStyle name="Millares 2 2 5 2 6 2" xfId="1771"/>
    <cellStyle name="Millares 2 2 5 2 7" xfId="1905"/>
    <cellStyle name="Millares 2 2 5 2 8" xfId="2043"/>
    <cellStyle name="Millares 2 2 5 2 9" xfId="2181"/>
    <cellStyle name="Millares 2 2 5 20" xfId="3416"/>
    <cellStyle name="Millares 2 2 5 21" xfId="976"/>
    <cellStyle name="Millares 2 2 5 3" xfId="175"/>
    <cellStyle name="Millares 2 2 5 3 2" xfId="1091"/>
    <cellStyle name="Millares 2 2 5 4" xfId="310"/>
    <cellStyle name="Millares 2 2 5 4 2" xfId="1226"/>
    <cellStyle name="Millares 2 2 5 5" xfId="445"/>
    <cellStyle name="Millares 2 2 5 5 2" xfId="1361"/>
    <cellStyle name="Millares 2 2 5 6" xfId="578"/>
    <cellStyle name="Millares 2 2 5 6 2" xfId="1494"/>
    <cellStyle name="Millares 2 2 5 7" xfId="714"/>
    <cellStyle name="Millares 2 2 5 7 2" xfId="1630"/>
    <cellStyle name="Millares 2 2 5 8" xfId="854"/>
    <cellStyle name="Millares 2 2 5 8 2" xfId="1770"/>
    <cellStyle name="Millares 2 2 5 9" xfId="1904"/>
    <cellStyle name="Millares 2 2 6" xfId="86"/>
    <cellStyle name="Millares 2 2 6 10" xfId="2182"/>
    <cellStyle name="Millares 2 2 6 11" xfId="2323"/>
    <cellStyle name="Millares 2 2 6 12" xfId="2460"/>
    <cellStyle name="Millares 2 2 6 13" xfId="2599"/>
    <cellStyle name="Millares 2 2 6 14" xfId="2733"/>
    <cellStyle name="Millares 2 2 6 15" xfId="2868"/>
    <cellStyle name="Millares 2 2 6 16" xfId="3004"/>
    <cellStyle name="Millares 2 2 6 17" xfId="3140"/>
    <cellStyle name="Millares 2 2 6 18" xfId="3275"/>
    <cellStyle name="Millares 2 2 6 19" xfId="3418"/>
    <cellStyle name="Millares 2 2 6 2" xfId="177"/>
    <cellStyle name="Millares 2 2 6 2 2" xfId="1093"/>
    <cellStyle name="Millares 2 2 6 20" xfId="1002"/>
    <cellStyle name="Millares 2 2 6 3" xfId="312"/>
    <cellStyle name="Millares 2 2 6 3 2" xfId="1228"/>
    <cellStyle name="Millares 2 2 6 4" xfId="447"/>
    <cellStyle name="Millares 2 2 6 4 2" xfId="1363"/>
    <cellStyle name="Millares 2 2 6 5" xfId="580"/>
    <cellStyle name="Millares 2 2 6 5 2" xfId="1496"/>
    <cellStyle name="Millares 2 2 6 6" xfId="716"/>
    <cellStyle name="Millares 2 2 6 6 2" xfId="1632"/>
    <cellStyle name="Millares 2 2 6 7" xfId="856"/>
    <cellStyle name="Millares 2 2 6 7 2" xfId="1772"/>
    <cellStyle name="Millares 2 2 6 8" xfId="1906"/>
    <cellStyle name="Millares 2 2 6 9" xfId="2044"/>
    <cellStyle name="Millares 2 2 7" xfId="54"/>
    <cellStyle name="Millares 2 2 7 10" xfId="2183"/>
    <cellStyle name="Millares 2 2 7 11" xfId="2324"/>
    <cellStyle name="Millares 2 2 7 12" xfId="2461"/>
    <cellStyle name="Millares 2 2 7 13" xfId="2600"/>
    <cellStyle name="Millares 2 2 7 14" xfId="2734"/>
    <cellStyle name="Millares 2 2 7 15" xfId="2869"/>
    <cellStyle name="Millares 2 2 7 16" xfId="3005"/>
    <cellStyle name="Millares 2 2 7 17" xfId="3141"/>
    <cellStyle name="Millares 2 2 7 18" xfId="3276"/>
    <cellStyle name="Millares 2 2 7 19" xfId="3419"/>
    <cellStyle name="Millares 2 2 7 2" xfId="178"/>
    <cellStyle name="Millares 2 2 7 2 2" xfId="1094"/>
    <cellStyle name="Millares 2 2 7 20" xfId="970"/>
    <cellStyle name="Millares 2 2 7 3" xfId="313"/>
    <cellStyle name="Millares 2 2 7 3 2" xfId="1229"/>
    <cellStyle name="Millares 2 2 7 4" xfId="448"/>
    <cellStyle name="Millares 2 2 7 4 2" xfId="1364"/>
    <cellStyle name="Millares 2 2 7 5" xfId="581"/>
    <cellStyle name="Millares 2 2 7 5 2" xfId="1497"/>
    <cellStyle name="Millares 2 2 7 6" xfId="717"/>
    <cellStyle name="Millares 2 2 7 6 2" xfId="1633"/>
    <cellStyle name="Millares 2 2 7 7" xfId="857"/>
    <cellStyle name="Millares 2 2 7 7 2" xfId="1773"/>
    <cellStyle name="Millares 2 2 7 8" xfId="1907"/>
    <cellStyle name="Millares 2 2 7 9" xfId="2045"/>
    <cellStyle name="Millares 2 2 8" xfId="116"/>
    <cellStyle name="Millares 2 2 8 10" xfId="2184"/>
    <cellStyle name="Millares 2 2 8 11" xfId="2325"/>
    <cellStyle name="Millares 2 2 8 12" xfId="2462"/>
    <cellStyle name="Millares 2 2 8 13" xfId="2601"/>
    <cellStyle name="Millares 2 2 8 14" xfId="2735"/>
    <cellStyle name="Millares 2 2 8 15" xfId="2870"/>
    <cellStyle name="Millares 2 2 8 16" xfId="3006"/>
    <cellStyle name="Millares 2 2 8 17" xfId="3142"/>
    <cellStyle name="Millares 2 2 8 18" xfId="3277"/>
    <cellStyle name="Millares 2 2 8 19" xfId="3420"/>
    <cellStyle name="Millares 2 2 8 2" xfId="179"/>
    <cellStyle name="Millares 2 2 8 2 2" xfId="1095"/>
    <cellStyle name="Millares 2 2 8 20" xfId="1032"/>
    <cellStyle name="Millares 2 2 8 3" xfId="314"/>
    <cellStyle name="Millares 2 2 8 3 2" xfId="1230"/>
    <cellStyle name="Millares 2 2 8 4" xfId="449"/>
    <cellStyle name="Millares 2 2 8 4 2" xfId="1365"/>
    <cellStyle name="Millares 2 2 8 5" xfId="582"/>
    <cellStyle name="Millares 2 2 8 5 2" xfId="1498"/>
    <cellStyle name="Millares 2 2 8 6" xfId="718"/>
    <cellStyle name="Millares 2 2 8 6 2" xfId="1634"/>
    <cellStyle name="Millares 2 2 8 7" xfId="858"/>
    <cellStyle name="Millares 2 2 8 7 2" xfId="1774"/>
    <cellStyle name="Millares 2 2 8 8" xfId="1908"/>
    <cellStyle name="Millares 2 2 8 9" xfId="2046"/>
    <cellStyle name="Millares 2 2 9" xfId="180"/>
    <cellStyle name="Millares 2 2 9 10" xfId="2326"/>
    <cellStyle name="Millares 2 2 9 11" xfId="2463"/>
    <cellStyle name="Millares 2 2 9 12" xfId="2602"/>
    <cellStyle name="Millares 2 2 9 13" xfId="2736"/>
    <cellStyle name="Millares 2 2 9 14" xfId="2871"/>
    <cellStyle name="Millares 2 2 9 15" xfId="3007"/>
    <cellStyle name="Millares 2 2 9 16" xfId="3143"/>
    <cellStyle name="Millares 2 2 9 17" xfId="3278"/>
    <cellStyle name="Millares 2 2 9 18" xfId="3421"/>
    <cellStyle name="Millares 2 2 9 19" xfId="1096"/>
    <cellStyle name="Millares 2 2 9 2" xfId="315"/>
    <cellStyle name="Millares 2 2 9 2 2" xfId="1231"/>
    <cellStyle name="Millares 2 2 9 3" xfId="450"/>
    <cellStyle name="Millares 2 2 9 3 2" xfId="1366"/>
    <cellStyle name="Millares 2 2 9 4" xfId="583"/>
    <cellStyle name="Millares 2 2 9 4 2" xfId="1499"/>
    <cellStyle name="Millares 2 2 9 5" xfId="719"/>
    <cellStyle name="Millares 2 2 9 5 2" xfId="1635"/>
    <cellStyle name="Millares 2 2 9 6" xfId="859"/>
    <cellStyle name="Millares 2 2 9 6 2" xfId="1775"/>
    <cellStyle name="Millares 2 2 9 7" xfId="1909"/>
    <cellStyle name="Millares 2 2 9 8" xfId="2047"/>
    <cellStyle name="Millares 2 2 9 9" xfId="2185"/>
    <cellStyle name="Millares 20" xfId="392"/>
    <cellStyle name="Millares 20 2" xfId="1308"/>
    <cellStyle name="Millares 21" xfId="393"/>
    <cellStyle name="Millares 21 2" xfId="1309"/>
    <cellStyle name="Millares 22" xfId="394"/>
    <cellStyle name="Millares 22 2" xfId="1310"/>
    <cellStyle name="Millares 23" xfId="527"/>
    <cellStyle name="Millares 23 2" xfId="1443"/>
    <cellStyle name="Millares 24" xfId="660"/>
    <cellStyle name="Millares 24 2" xfId="1576"/>
    <cellStyle name="Millares 25" xfId="661"/>
    <cellStyle name="Millares 25 2" xfId="1577"/>
    <cellStyle name="Millares 26" xfId="662"/>
    <cellStyle name="Millares 26 2" xfId="1578"/>
    <cellStyle name="Millares 27" xfId="663"/>
    <cellStyle name="Millares 27 2" xfId="1579"/>
    <cellStyle name="Millares 28" xfId="796"/>
    <cellStyle name="Millares 28 2" xfId="1712"/>
    <cellStyle name="Millares 29" xfId="798"/>
    <cellStyle name="Millares 29 2" xfId="1714"/>
    <cellStyle name="Millares 3" xfId="15"/>
    <cellStyle name="Millares 3 10" xfId="451"/>
    <cellStyle name="Millares 3 10 2" xfId="1367"/>
    <cellStyle name="Millares 3 11" xfId="584"/>
    <cellStyle name="Millares 3 11 2" xfId="1500"/>
    <cellStyle name="Millares 3 12" xfId="720"/>
    <cellStyle name="Millares 3 12 2" xfId="1636"/>
    <cellStyle name="Millares 3 13" xfId="860"/>
    <cellStyle name="Millares 3 13 2" xfId="1776"/>
    <cellStyle name="Millares 3 14" xfId="31"/>
    <cellStyle name="Millares 3 14 2" xfId="1910"/>
    <cellStyle name="Millares 3 15" xfId="2048"/>
    <cellStyle name="Millares 3 16" xfId="2186"/>
    <cellStyle name="Millares 3 17" xfId="2327"/>
    <cellStyle name="Millares 3 18" xfId="2464"/>
    <cellStyle name="Millares 3 19" xfId="2603"/>
    <cellStyle name="Millares 3 2" xfId="39"/>
    <cellStyle name="Millares 3 2 10" xfId="861"/>
    <cellStyle name="Millares 3 2 10 2" xfId="1777"/>
    <cellStyle name="Millares 3 2 11" xfId="1911"/>
    <cellStyle name="Millares 3 2 12" xfId="2049"/>
    <cellStyle name="Millares 3 2 13" xfId="2187"/>
    <cellStyle name="Millares 3 2 14" xfId="2328"/>
    <cellStyle name="Millares 3 2 15" xfId="2465"/>
    <cellStyle name="Millares 3 2 16" xfId="2604"/>
    <cellStyle name="Millares 3 2 17" xfId="2738"/>
    <cellStyle name="Millares 3 2 18" xfId="2873"/>
    <cellStyle name="Millares 3 2 19" xfId="3009"/>
    <cellStyle name="Millares 3 2 2" xfId="96"/>
    <cellStyle name="Millares 3 2 2 10" xfId="2188"/>
    <cellStyle name="Millares 3 2 2 11" xfId="2329"/>
    <cellStyle name="Millares 3 2 2 12" xfId="2466"/>
    <cellStyle name="Millares 3 2 2 13" xfId="2605"/>
    <cellStyle name="Millares 3 2 2 14" xfId="2739"/>
    <cellStyle name="Millares 3 2 2 15" xfId="2874"/>
    <cellStyle name="Millares 3 2 2 16" xfId="3010"/>
    <cellStyle name="Millares 3 2 2 17" xfId="3146"/>
    <cellStyle name="Millares 3 2 2 18" xfId="3281"/>
    <cellStyle name="Millares 3 2 2 19" xfId="3424"/>
    <cellStyle name="Millares 3 2 2 2" xfId="183"/>
    <cellStyle name="Millares 3 2 2 2 2" xfId="1099"/>
    <cellStyle name="Millares 3 2 2 20" xfId="1012"/>
    <cellStyle name="Millares 3 2 2 3" xfId="318"/>
    <cellStyle name="Millares 3 2 2 3 2" xfId="1234"/>
    <cellStyle name="Millares 3 2 2 4" xfId="453"/>
    <cellStyle name="Millares 3 2 2 4 2" xfId="1369"/>
    <cellStyle name="Millares 3 2 2 5" xfId="586"/>
    <cellStyle name="Millares 3 2 2 5 2" xfId="1502"/>
    <cellStyle name="Millares 3 2 2 6" xfId="722"/>
    <cellStyle name="Millares 3 2 2 6 2" xfId="1638"/>
    <cellStyle name="Millares 3 2 2 7" xfId="862"/>
    <cellStyle name="Millares 3 2 2 7 2" xfId="1778"/>
    <cellStyle name="Millares 3 2 2 8" xfId="1912"/>
    <cellStyle name="Millares 3 2 2 9" xfId="2050"/>
    <cellStyle name="Millares 3 2 20" xfId="3145"/>
    <cellStyle name="Millares 3 2 21" xfId="3280"/>
    <cellStyle name="Millares 3 2 22" xfId="3423"/>
    <cellStyle name="Millares 3 2 23" xfId="955"/>
    <cellStyle name="Millares 3 2 3" xfId="70"/>
    <cellStyle name="Millares 3 2 3 10" xfId="2189"/>
    <cellStyle name="Millares 3 2 3 11" xfId="2330"/>
    <cellStyle name="Millares 3 2 3 12" xfId="2467"/>
    <cellStyle name="Millares 3 2 3 13" xfId="2606"/>
    <cellStyle name="Millares 3 2 3 14" xfId="2740"/>
    <cellStyle name="Millares 3 2 3 15" xfId="2875"/>
    <cellStyle name="Millares 3 2 3 16" xfId="3011"/>
    <cellStyle name="Millares 3 2 3 17" xfId="3147"/>
    <cellStyle name="Millares 3 2 3 18" xfId="3282"/>
    <cellStyle name="Millares 3 2 3 19" xfId="3425"/>
    <cellStyle name="Millares 3 2 3 2" xfId="184"/>
    <cellStyle name="Millares 3 2 3 2 2" xfId="1100"/>
    <cellStyle name="Millares 3 2 3 20" xfId="986"/>
    <cellStyle name="Millares 3 2 3 3" xfId="319"/>
    <cellStyle name="Millares 3 2 3 3 2" xfId="1235"/>
    <cellStyle name="Millares 3 2 3 4" xfId="454"/>
    <cellStyle name="Millares 3 2 3 4 2" xfId="1370"/>
    <cellStyle name="Millares 3 2 3 5" xfId="587"/>
    <cellStyle name="Millares 3 2 3 5 2" xfId="1503"/>
    <cellStyle name="Millares 3 2 3 6" xfId="723"/>
    <cellStyle name="Millares 3 2 3 6 2" xfId="1639"/>
    <cellStyle name="Millares 3 2 3 7" xfId="863"/>
    <cellStyle name="Millares 3 2 3 7 2" xfId="1779"/>
    <cellStyle name="Millares 3 2 3 8" xfId="1913"/>
    <cellStyle name="Millares 3 2 3 9" xfId="2051"/>
    <cellStyle name="Millares 3 2 4" xfId="185"/>
    <cellStyle name="Millares 3 2 4 10" xfId="2331"/>
    <cellStyle name="Millares 3 2 4 11" xfId="2468"/>
    <cellStyle name="Millares 3 2 4 12" xfId="2607"/>
    <cellStyle name="Millares 3 2 4 13" xfId="2741"/>
    <cellStyle name="Millares 3 2 4 14" xfId="2876"/>
    <cellStyle name="Millares 3 2 4 15" xfId="3012"/>
    <cellStyle name="Millares 3 2 4 16" xfId="3148"/>
    <cellStyle name="Millares 3 2 4 17" xfId="3283"/>
    <cellStyle name="Millares 3 2 4 18" xfId="3426"/>
    <cellStyle name="Millares 3 2 4 19" xfId="1101"/>
    <cellStyle name="Millares 3 2 4 2" xfId="320"/>
    <cellStyle name="Millares 3 2 4 2 2" xfId="1236"/>
    <cellStyle name="Millares 3 2 4 3" xfId="455"/>
    <cellStyle name="Millares 3 2 4 3 2" xfId="1371"/>
    <cellStyle name="Millares 3 2 4 4" xfId="588"/>
    <cellStyle name="Millares 3 2 4 4 2" xfId="1504"/>
    <cellStyle name="Millares 3 2 4 5" xfId="724"/>
    <cellStyle name="Millares 3 2 4 5 2" xfId="1640"/>
    <cellStyle name="Millares 3 2 4 6" xfId="864"/>
    <cellStyle name="Millares 3 2 4 6 2" xfId="1780"/>
    <cellStyle name="Millares 3 2 4 7" xfId="1914"/>
    <cellStyle name="Millares 3 2 4 8" xfId="2052"/>
    <cellStyle name="Millares 3 2 4 9" xfId="2190"/>
    <cellStyle name="Millares 3 2 5" xfId="182"/>
    <cellStyle name="Millares 3 2 5 2" xfId="1098"/>
    <cellStyle name="Millares 3 2 6" xfId="317"/>
    <cellStyle name="Millares 3 2 6 2" xfId="1233"/>
    <cellStyle name="Millares 3 2 7" xfId="452"/>
    <cellStyle name="Millares 3 2 7 2" xfId="1368"/>
    <cellStyle name="Millares 3 2 8" xfId="585"/>
    <cellStyle name="Millares 3 2 8 2" xfId="1501"/>
    <cellStyle name="Millares 3 2 9" xfId="721"/>
    <cellStyle name="Millares 3 2 9 2" xfId="1637"/>
    <cellStyle name="Millares 3 20" xfId="2737"/>
    <cellStyle name="Millares 3 21" xfId="2872"/>
    <cellStyle name="Millares 3 22" xfId="3008"/>
    <cellStyle name="Millares 3 23" xfId="3144"/>
    <cellStyle name="Millares 3 24" xfId="3279"/>
    <cellStyle name="Millares 3 25" xfId="3422"/>
    <cellStyle name="Millares 3 26" xfId="947"/>
    <cellStyle name="Millares 3 3" xfId="49"/>
    <cellStyle name="Millares 3 3 10" xfId="865"/>
    <cellStyle name="Millares 3 3 10 2" xfId="1781"/>
    <cellStyle name="Millares 3 3 11" xfId="1915"/>
    <cellStyle name="Millares 3 3 12" xfId="2053"/>
    <cellStyle name="Millares 3 3 13" xfId="2191"/>
    <cellStyle name="Millares 3 3 14" xfId="2332"/>
    <cellStyle name="Millares 3 3 15" xfId="2469"/>
    <cellStyle name="Millares 3 3 16" xfId="2608"/>
    <cellStyle name="Millares 3 3 17" xfId="2742"/>
    <cellStyle name="Millares 3 3 18" xfId="2877"/>
    <cellStyle name="Millares 3 3 19" xfId="3013"/>
    <cellStyle name="Millares 3 3 2" xfId="106"/>
    <cellStyle name="Millares 3 3 2 10" xfId="2192"/>
    <cellStyle name="Millares 3 3 2 11" xfId="2333"/>
    <cellStyle name="Millares 3 3 2 12" xfId="2470"/>
    <cellStyle name="Millares 3 3 2 13" xfId="2609"/>
    <cellStyle name="Millares 3 3 2 14" xfId="2743"/>
    <cellStyle name="Millares 3 3 2 15" xfId="2878"/>
    <cellStyle name="Millares 3 3 2 16" xfId="3014"/>
    <cellStyle name="Millares 3 3 2 17" xfId="3150"/>
    <cellStyle name="Millares 3 3 2 18" xfId="3285"/>
    <cellStyle name="Millares 3 3 2 19" xfId="3428"/>
    <cellStyle name="Millares 3 3 2 2" xfId="187"/>
    <cellStyle name="Millares 3 3 2 2 2" xfId="1103"/>
    <cellStyle name="Millares 3 3 2 20" xfId="1022"/>
    <cellStyle name="Millares 3 3 2 3" xfId="322"/>
    <cellStyle name="Millares 3 3 2 3 2" xfId="1238"/>
    <cellStyle name="Millares 3 3 2 4" xfId="457"/>
    <cellStyle name="Millares 3 3 2 4 2" xfId="1373"/>
    <cellStyle name="Millares 3 3 2 5" xfId="590"/>
    <cellStyle name="Millares 3 3 2 5 2" xfId="1506"/>
    <cellStyle name="Millares 3 3 2 6" xfId="726"/>
    <cellStyle name="Millares 3 3 2 6 2" xfId="1642"/>
    <cellStyle name="Millares 3 3 2 7" xfId="866"/>
    <cellStyle name="Millares 3 3 2 7 2" xfId="1782"/>
    <cellStyle name="Millares 3 3 2 8" xfId="1916"/>
    <cellStyle name="Millares 3 3 2 9" xfId="2054"/>
    <cellStyle name="Millares 3 3 20" xfId="3149"/>
    <cellStyle name="Millares 3 3 21" xfId="3284"/>
    <cellStyle name="Millares 3 3 22" xfId="3427"/>
    <cellStyle name="Millares 3 3 23" xfId="965"/>
    <cellStyle name="Millares 3 3 3" xfId="80"/>
    <cellStyle name="Millares 3 3 3 10" xfId="2193"/>
    <cellStyle name="Millares 3 3 3 11" xfId="2334"/>
    <cellStyle name="Millares 3 3 3 12" xfId="2471"/>
    <cellStyle name="Millares 3 3 3 13" xfId="2610"/>
    <cellStyle name="Millares 3 3 3 14" xfId="2744"/>
    <cellStyle name="Millares 3 3 3 15" xfId="2879"/>
    <cellStyle name="Millares 3 3 3 16" xfId="3015"/>
    <cellStyle name="Millares 3 3 3 17" xfId="3151"/>
    <cellStyle name="Millares 3 3 3 18" xfId="3286"/>
    <cellStyle name="Millares 3 3 3 19" xfId="3429"/>
    <cellStyle name="Millares 3 3 3 2" xfId="188"/>
    <cellStyle name="Millares 3 3 3 2 2" xfId="1104"/>
    <cellStyle name="Millares 3 3 3 20" xfId="996"/>
    <cellStyle name="Millares 3 3 3 3" xfId="323"/>
    <cellStyle name="Millares 3 3 3 3 2" xfId="1239"/>
    <cellStyle name="Millares 3 3 3 4" xfId="458"/>
    <cellStyle name="Millares 3 3 3 4 2" xfId="1374"/>
    <cellStyle name="Millares 3 3 3 5" xfId="591"/>
    <cellStyle name="Millares 3 3 3 5 2" xfId="1507"/>
    <cellStyle name="Millares 3 3 3 6" xfId="727"/>
    <cellStyle name="Millares 3 3 3 6 2" xfId="1643"/>
    <cellStyle name="Millares 3 3 3 7" xfId="867"/>
    <cellStyle name="Millares 3 3 3 7 2" xfId="1783"/>
    <cellStyle name="Millares 3 3 3 8" xfId="1917"/>
    <cellStyle name="Millares 3 3 3 9" xfId="2055"/>
    <cellStyle name="Millares 3 3 4" xfId="189"/>
    <cellStyle name="Millares 3 3 4 10" xfId="2335"/>
    <cellStyle name="Millares 3 3 4 11" xfId="2472"/>
    <cellStyle name="Millares 3 3 4 12" xfId="2611"/>
    <cellStyle name="Millares 3 3 4 13" xfId="2745"/>
    <cellStyle name="Millares 3 3 4 14" xfId="2880"/>
    <cellStyle name="Millares 3 3 4 15" xfId="3016"/>
    <cellStyle name="Millares 3 3 4 16" xfId="3152"/>
    <cellStyle name="Millares 3 3 4 17" xfId="3287"/>
    <cellStyle name="Millares 3 3 4 18" xfId="3430"/>
    <cellStyle name="Millares 3 3 4 19" xfId="1105"/>
    <cellStyle name="Millares 3 3 4 2" xfId="324"/>
    <cellStyle name="Millares 3 3 4 2 2" xfId="1240"/>
    <cellStyle name="Millares 3 3 4 3" xfId="459"/>
    <cellStyle name="Millares 3 3 4 3 2" xfId="1375"/>
    <cellStyle name="Millares 3 3 4 4" xfId="592"/>
    <cellStyle name="Millares 3 3 4 4 2" xfId="1508"/>
    <cellStyle name="Millares 3 3 4 5" xfId="728"/>
    <cellStyle name="Millares 3 3 4 5 2" xfId="1644"/>
    <cellStyle name="Millares 3 3 4 6" xfId="868"/>
    <cellStyle name="Millares 3 3 4 6 2" xfId="1784"/>
    <cellStyle name="Millares 3 3 4 7" xfId="1918"/>
    <cellStyle name="Millares 3 3 4 8" xfId="2056"/>
    <cellStyle name="Millares 3 3 4 9" xfId="2194"/>
    <cellStyle name="Millares 3 3 5" xfId="186"/>
    <cellStyle name="Millares 3 3 5 2" xfId="1102"/>
    <cellStyle name="Millares 3 3 6" xfId="321"/>
    <cellStyle name="Millares 3 3 6 2" xfId="1237"/>
    <cellStyle name="Millares 3 3 7" xfId="456"/>
    <cellStyle name="Millares 3 3 7 2" xfId="1372"/>
    <cellStyle name="Millares 3 3 8" xfId="589"/>
    <cellStyle name="Millares 3 3 8 2" xfId="1505"/>
    <cellStyle name="Millares 3 3 9" xfId="725"/>
    <cellStyle name="Millares 3 3 9 2" xfId="1641"/>
    <cellStyle name="Millares 3 4" xfId="88"/>
    <cellStyle name="Millares 3 4 10" xfId="2057"/>
    <cellStyle name="Millares 3 4 11" xfId="2195"/>
    <cellStyle name="Millares 3 4 12" xfId="2336"/>
    <cellStyle name="Millares 3 4 13" xfId="2473"/>
    <cellStyle name="Millares 3 4 14" xfId="2612"/>
    <cellStyle name="Millares 3 4 15" xfId="2746"/>
    <cellStyle name="Millares 3 4 16" xfId="2881"/>
    <cellStyle name="Millares 3 4 17" xfId="3017"/>
    <cellStyle name="Millares 3 4 18" xfId="3153"/>
    <cellStyle name="Millares 3 4 19" xfId="3288"/>
    <cellStyle name="Millares 3 4 2" xfId="191"/>
    <cellStyle name="Millares 3 4 2 10" xfId="2337"/>
    <cellStyle name="Millares 3 4 2 11" xfId="2474"/>
    <cellStyle name="Millares 3 4 2 12" xfId="2613"/>
    <cellStyle name="Millares 3 4 2 13" xfId="2747"/>
    <cellStyle name="Millares 3 4 2 14" xfId="2882"/>
    <cellStyle name="Millares 3 4 2 15" xfId="3018"/>
    <cellStyle name="Millares 3 4 2 16" xfId="3154"/>
    <cellStyle name="Millares 3 4 2 17" xfId="3289"/>
    <cellStyle name="Millares 3 4 2 18" xfId="3432"/>
    <cellStyle name="Millares 3 4 2 19" xfId="1107"/>
    <cellStyle name="Millares 3 4 2 2" xfId="326"/>
    <cellStyle name="Millares 3 4 2 2 2" xfId="1242"/>
    <cellStyle name="Millares 3 4 2 3" xfId="461"/>
    <cellStyle name="Millares 3 4 2 3 2" xfId="1377"/>
    <cellStyle name="Millares 3 4 2 4" xfId="594"/>
    <cellStyle name="Millares 3 4 2 4 2" xfId="1510"/>
    <cellStyle name="Millares 3 4 2 5" xfId="730"/>
    <cellStyle name="Millares 3 4 2 5 2" xfId="1646"/>
    <cellStyle name="Millares 3 4 2 6" xfId="870"/>
    <cellStyle name="Millares 3 4 2 6 2" xfId="1786"/>
    <cellStyle name="Millares 3 4 2 7" xfId="1920"/>
    <cellStyle name="Millares 3 4 2 8" xfId="2058"/>
    <cellStyle name="Millares 3 4 2 9" xfId="2196"/>
    <cellStyle name="Millares 3 4 20" xfId="3431"/>
    <cellStyle name="Millares 3 4 21" xfId="1004"/>
    <cellStyle name="Millares 3 4 3" xfId="190"/>
    <cellStyle name="Millares 3 4 3 2" xfId="1106"/>
    <cellStyle name="Millares 3 4 4" xfId="325"/>
    <cellStyle name="Millares 3 4 4 2" xfId="1241"/>
    <cellStyle name="Millares 3 4 5" xfId="460"/>
    <cellStyle name="Millares 3 4 5 2" xfId="1376"/>
    <cellStyle name="Millares 3 4 6" xfId="593"/>
    <cellStyle name="Millares 3 4 6 2" xfId="1509"/>
    <cellStyle name="Millares 3 4 7" xfId="729"/>
    <cellStyle name="Millares 3 4 7 2" xfId="1645"/>
    <cellStyle name="Millares 3 4 8" xfId="869"/>
    <cellStyle name="Millares 3 4 8 2" xfId="1785"/>
    <cellStyle name="Millares 3 4 9" xfId="1919"/>
    <cellStyle name="Millares 3 5" xfId="62"/>
    <cellStyle name="Millares 3 5 10" xfId="2197"/>
    <cellStyle name="Millares 3 5 11" xfId="2338"/>
    <cellStyle name="Millares 3 5 12" xfId="2475"/>
    <cellStyle name="Millares 3 5 13" xfId="2614"/>
    <cellStyle name="Millares 3 5 14" xfId="2748"/>
    <cellStyle name="Millares 3 5 15" xfId="2883"/>
    <cellStyle name="Millares 3 5 16" xfId="3019"/>
    <cellStyle name="Millares 3 5 17" xfId="3155"/>
    <cellStyle name="Millares 3 5 18" xfId="3290"/>
    <cellStyle name="Millares 3 5 19" xfId="3433"/>
    <cellStyle name="Millares 3 5 2" xfId="192"/>
    <cellStyle name="Millares 3 5 2 2" xfId="1108"/>
    <cellStyle name="Millares 3 5 20" xfId="978"/>
    <cellStyle name="Millares 3 5 3" xfId="327"/>
    <cellStyle name="Millares 3 5 3 2" xfId="1243"/>
    <cellStyle name="Millares 3 5 4" xfId="462"/>
    <cellStyle name="Millares 3 5 4 2" xfId="1378"/>
    <cellStyle name="Millares 3 5 5" xfId="595"/>
    <cellStyle name="Millares 3 5 5 2" xfId="1511"/>
    <cellStyle name="Millares 3 5 6" xfId="731"/>
    <cellStyle name="Millares 3 5 6 2" xfId="1647"/>
    <cellStyle name="Millares 3 5 7" xfId="871"/>
    <cellStyle name="Millares 3 5 7 2" xfId="1787"/>
    <cellStyle name="Millares 3 5 8" xfId="1921"/>
    <cellStyle name="Millares 3 5 9" xfId="2059"/>
    <cellStyle name="Millares 3 6" xfId="118"/>
    <cellStyle name="Millares 3 6 10" xfId="2198"/>
    <cellStyle name="Millares 3 6 11" xfId="2339"/>
    <cellStyle name="Millares 3 6 12" xfId="2476"/>
    <cellStyle name="Millares 3 6 13" xfId="2615"/>
    <cellStyle name="Millares 3 6 14" xfId="2749"/>
    <cellStyle name="Millares 3 6 15" xfId="2884"/>
    <cellStyle name="Millares 3 6 16" xfId="3020"/>
    <cellStyle name="Millares 3 6 17" xfId="3156"/>
    <cellStyle name="Millares 3 6 18" xfId="3291"/>
    <cellStyle name="Millares 3 6 19" xfId="3434"/>
    <cellStyle name="Millares 3 6 2" xfId="193"/>
    <cellStyle name="Millares 3 6 2 2" xfId="1109"/>
    <cellStyle name="Millares 3 6 20" xfId="1034"/>
    <cellStyle name="Millares 3 6 3" xfId="328"/>
    <cellStyle name="Millares 3 6 3 2" xfId="1244"/>
    <cellStyle name="Millares 3 6 4" xfId="463"/>
    <cellStyle name="Millares 3 6 4 2" xfId="1379"/>
    <cellStyle name="Millares 3 6 5" xfId="596"/>
    <cellStyle name="Millares 3 6 5 2" xfId="1512"/>
    <cellStyle name="Millares 3 6 6" xfId="732"/>
    <cellStyle name="Millares 3 6 6 2" xfId="1648"/>
    <cellStyle name="Millares 3 6 7" xfId="872"/>
    <cellStyle name="Millares 3 6 7 2" xfId="1788"/>
    <cellStyle name="Millares 3 6 8" xfId="1922"/>
    <cellStyle name="Millares 3 6 9" xfId="2060"/>
    <cellStyle name="Millares 3 7" xfId="194"/>
    <cellStyle name="Millares 3 7 10" xfId="2340"/>
    <cellStyle name="Millares 3 7 11" xfId="2477"/>
    <cellStyle name="Millares 3 7 12" xfId="2616"/>
    <cellStyle name="Millares 3 7 13" xfId="2750"/>
    <cellStyle name="Millares 3 7 14" xfId="2885"/>
    <cellStyle name="Millares 3 7 15" xfId="3021"/>
    <cellStyle name="Millares 3 7 16" xfId="3157"/>
    <cellStyle name="Millares 3 7 17" xfId="3292"/>
    <cellStyle name="Millares 3 7 18" xfId="3435"/>
    <cellStyle name="Millares 3 7 19" xfId="1110"/>
    <cellStyle name="Millares 3 7 2" xfId="329"/>
    <cellStyle name="Millares 3 7 2 2" xfId="1245"/>
    <cellStyle name="Millares 3 7 3" xfId="464"/>
    <cellStyle name="Millares 3 7 3 2" xfId="1380"/>
    <cellStyle name="Millares 3 7 4" xfId="597"/>
    <cellStyle name="Millares 3 7 4 2" xfId="1513"/>
    <cellStyle name="Millares 3 7 5" xfId="733"/>
    <cellStyle name="Millares 3 7 5 2" xfId="1649"/>
    <cellStyle name="Millares 3 7 6" xfId="873"/>
    <cellStyle name="Millares 3 7 6 2" xfId="1789"/>
    <cellStyle name="Millares 3 7 7" xfId="1923"/>
    <cellStyle name="Millares 3 7 8" xfId="2061"/>
    <cellStyle name="Millares 3 7 9" xfId="2199"/>
    <cellStyle name="Millares 3 8" xfId="181"/>
    <cellStyle name="Millares 3 8 2" xfId="1097"/>
    <cellStyle name="Millares 3 9" xfId="316"/>
    <cellStyle name="Millares 3 9 2" xfId="1232"/>
    <cellStyle name="Millares 30" xfId="799"/>
    <cellStyle name="Millares 30 2" xfId="1715"/>
    <cellStyle name="Millares 31" xfId="797"/>
    <cellStyle name="Millares 31 2" xfId="1713"/>
    <cellStyle name="Millares 32" xfId="800"/>
    <cellStyle name="Millares 32 2" xfId="1716"/>
    <cellStyle name="Millares 33" xfId="801"/>
    <cellStyle name="Millares 33 2" xfId="1717"/>
    <cellStyle name="Millares 34" xfId="803"/>
    <cellStyle name="Millares 34 2" xfId="1719"/>
    <cellStyle name="Millares 35" xfId="802"/>
    <cellStyle name="Millares 35 2" xfId="1718"/>
    <cellStyle name="Millares 36" xfId="936"/>
    <cellStyle name="Millares 36 2" xfId="1852"/>
    <cellStyle name="Millares 37" xfId="27"/>
    <cellStyle name="Millares 37 2" xfId="1853"/>
    <cellStyle name="Millares 38" xfId="937"/>
    <cellStyle name="Millares 38 2" xfId="1986"/>
    <cellStyle name="Millares 39" xfId="939"/>
    <cellStyle name="Millares 39 2" xfId="1988"/>
    <cellStyle name="Millares 4" xfId="7"/>
    <cellStyle name="Millares 4 10" xfId="734"/>
    <cellStyle name="Millares 4 10 2" xfId="1650"/>
    <cellStyle name="Millares 4 11" xfId="874"/>
    <cellStyle name="Millares 4 11 2" xfId="1790"/>
    <cellStyle name="Millares 4 12" xfId="34"/>
    <cellStyle name="Millares 4 12 2" xfId="1924"/>
    <cellStyle name="Millares 4 13" xfId="2062"/>
    <cellStyle name="Millares 4 14" xfId="2200"/>
    <cellStyle name="Millares 4 15" xfId="2341"/>
    <cellStyle name="Millares 4 16" xfId="2478"/>
    <cellStyle name="Millares 4 17" xfId="2617"/>
    <cellStyle name="Millares 4 18" xfId="2751"/>
    <cellStyle name="Millares 4 19" xfId="2886"/>
    <cellStyle name="Millares 4 2" xfId="91"/>
    <cellStyle name="Millares 4 2 10" xfId="2201"/>
    <cellStyle name="Millares 4 2 11" xfId="2342"/>
    <cellStyle name="Millares 4 2 12" xfId="2479"/>
    <cellStyle name="Millares 4 2 13" xfId="2618"/>
    <cellStyle name="Millares 4 2 14" xfId="2752"/>
    <cellStyle name="Millares 4 2 15" xfId="2887"/>
    <cellStyle name="Millares 4 2 16" xfId="3023"/>
    <cellStyle name="Millares 4 2 17" xfId="3159"/>
    <cellStyle name="Millares 4 2 18" xfId="3294"/>
    <cellStyle name="Millares 4 2 19" xfId="3437"/>
    <cellStyle name="Millares 4 2 2" xfId="196"/>
    <cellStyle name="Millares 4 2 2 2" xfId="1112"/>
    <cellStyle name="Millares 4 2 20" xfId="1007"/>
    <cellStyle name="Millares 4 2 3" xfId="331"/>
    <cellStyle name="Millares 4 2 3 2" xfId="1247"/>
    <cellStyle name="Millares 4 2 4" xfId="466"/>
    <cellStyle name="Millares 4 2 4 2" xfId="1382"/>
    <cellStyle name="Millares 4 2 5" xfId="599"/>
    <cellStyle name="Millares 4 2 5 2" xfId="1515"/>
    <cellStyle name="Millares 4 2 6" xfId="735"/>
    <cellStyle name="Millares 4 2 6 2" xfId="1651"/>
    <cellStyle name="Millares 4 2 7" xfId="875"/>
    <cellStyle name="Millares 4 2 7 2" xfId="1791"/>
    <cellStyle name="Millares 4 2 8" xfId="1925"/>
    <cellStyle name="Millares 4 2 9" xfId="2063"/>
    <cellStyle name="Millares 4 20" xfId="3022"/>
    <cellStyle name="Millares 4 21" xfId="3158"/>
    <cellStyle name="Millares 4 22" xfId="3293"/>
    <cellStyle name="Millares 4 23" xfId="3436"/>
    <cellStyle name="Millares 4 24" xfId="950"/>
    <cellStyle name="Millares 4 3" xfId="65"/>
    <cellStyle name="Millares 4 3 10" xfId="2202"/>
    <cellStyle name="Millares 4 3 11" xfId="2343"/>
    <cellStyle name="Millares 4 3 12" xfId="2480"/>
    <cellStyle name="Millares 4 3 13" xfId="2619"/>
    <cellStyle name="Millares 4 3 14" xfId="2753"/>
    <cellStyle name="Millares 4 3 15" xfId="2888"/>
    <cellStyle name="Millares 4 3 16" xfId="3024"/>
    <cellStyle name="Millares 4 3 17" xfId="3160"/>
    <cellStyle name="Millares 4 3 18" xfId="3295"/>
    <cellStyle name="Millares 4 3 19" xfId="3438"/>
    <cellStyle name="Millares 4 3 2" xfId="197"/>
    <cellStyle name="Millares 4 3 2 2" xfId="1113"/>
    <cellStyle name="Millares 4 3 20" xfId="981"/>
    <cellStyle name="Millares 4 3 3" xfId="332"/>
    <cellStyle name="Millares 4 3 3 2" xfId="1248"/>
    <cellStyle name="Millares 4 3 4" xfId="467"/>
    <cellStyle name="Millares 4 3 4 2" xfId="1383"/>
    <cellStyle name="Millares 4 3 5" xfId="600"/>
    <cellStyle name="Millares 4 3 5 2" xfId="1516"/>
    <cellStyle name="Millares 4 3 6" xfId="736"/>
    <cellStyle name="Millares 4 3 6 2" xfId="1652"/>
    <cellStyle name="Millares 4 3 7" xfId="876"/>
    <cellStyle name="Millares 4 3 7 2" xfId="1792"/>
    <cellStyle name="Millares 4 3 8" xfId="1926"/>
    <cellStyle name="Millares 4 3 9" xfId="2064"/>
    <cellStyle name="Millares 4 4" xfId="121"/>
    <cellStyle name="Millares 4 4 10" xfId="2203"/>
    <cellStyle name="Millares 4 4 11" xfId="2344"/>
    <cellStyle name="Millares 4 4 12" xfId="2481"/>
    <cellStyle name="Millares 4 4 13" xfId="2620"/>
    <cellStyle name="Millares 4 4 14" xfId="2754"/>
    <cellStyle name="Millares 4 4 15" xfId="2889"/>
    <cellStyle name="Millares 4 4 16" xfId="3025"/>
    <cellStyle name="Millares 4 4 17" xfId="3161"/>
    <cellStyle name="Millares 4 4 18" xfId="3296"/>
    <cellStyle name="Millares 4 4 19" xfId="3439"/>
    <cellStyle name="Millares 4 4 2" xfId="198"/>
    <cellStyle name="Millares 4 4 2 2" xfId="1114"/>
    <cellStyle name="Millares 4 4 20" xfId="1037"/>
    <cellStyle name="Millares 4 4 3" xfId="333"/>
    <cellStyle name="Millares 4 4 3 2" xfId="1249"/>
    <cellStyle name="Millares 4 4 4" xfId="468"/>
    <cellStyle name="Millares 4 4 4 2" xfId="1384"/>
    <cellStyle name="Millares 4 4 5" xfId="601"/>
    <cellStyle name="Millares 4 4 5 2" xfId="1517"/>
    <cellStyle name="Millares 4 4 6" xfId="737"/>
    <cellStyle name="Millares 4 4 6 2" xfId="1653"/>
    <cellStyle name="Millares 4 4 7" xfId="877"/>
    <cellStyle name="Millares 4 4 7 2" xfId="1793"/>
    <cellStyle name="Millares 4 4 8" xfId="1927"/>
    <cellStyle name="Millares 4 4 9" xfId="2065"/>
    <cellStyle name="Millares 4 5" xfId="199"/>
    <cellStyle name="Millares 4 5 10" xfId="2345"/>
    <cellStyle name="Millares 4 5 11" xfId="2482"/>
    <cellStyle name="Millares 4 5 12" xfId="2621"/>
    <cellStyle name="Millares 4 5 13" xfId="2755"/>
    <cellStyle name="Millares 4 5 14" xfId="2890"/>
    <cellStyle name="Millares 4 5 15" xfId="3026"/>
    <cellStyle name="Millares 4 5 16" xfId="3162"/>
    <cellStyle name="Millares 4 5 17" xfId="3297"/>
    <cellStyle name="Millares 4 5 18" xfId="3440"/>
    <cellStyle name="Millares 4 5 19" xfId="1115"/>
    <cellStyle name="Millares 4 5 2" xfId="334"/>
    <cellStyle name="Millares 4 5 2 2" xfId="1250"/>
    <cellStyle name="Millares 4 5 3" xfId="469"/>
    <cellStyle name="Millares 4 5 3 2" xfId="1385"/>
    <cellStyle name="Millares 4 5 4" xfId="602"/>
    <cellStyle name="Millares 4 5 4 2" xfId="1518"/>
    <cellStyle name="Millares 4 5 5" xfId="738"/>
    <cellStyle name="Millares 4 5 5 2" xfId="1654"/>
    <cellStyle name="Millares 4 5 6" xfId="878"/>
    <cellStyle name="Millares 4 5 6 2" xfId="1794"/>
    <cellStyle name="Millares 4 5 7" xfId="1928"/>
    <cellStyle name="Millares 4 5 8" xfId="2066"/>
    <cellStyle name="Millares 4 5 9" xfId="2204"/>
    <cellStyle name="Millares 4 6" xfId="195"/>
    <cellStyle name="Millares 4 6 2" xfId="1111"/>
    <cellStyle name="Millares 4 7" xfId="330"/>
    <cellStyle name="Millares 4 7 2" xfId="1246"/>
    <cellStyle name="Millares 4 8" xfId="465"/>
    <cellStyle name="Millares 4 8 2" xfId="1381"/>
    <cellStyle name="Millares 4 9" xfId="598"/>
    <cellStyle name="Millares 4 9 2" xfId="1514"/>
    <cellStyle name="Millares 40" xfId="938"/>
    <cellStyle name="Millares 40 2" xfId="1990"/>
    <cellStyle name="Millares 41" xfId="940"/>
    <cellStyle name="Millares 41 2" xfId="1987"/>
    <cellStyle name="Millares 42" xfId="1989"/>
    <cellStyle name="Millares 43" xfId="1991"/>
    <cellStyle name="Millares 44" xfId="2124"/>
    <cellStyle name="Millares 45" xfId="2126"/>
    <cellStyle name="Millares 46" xfId="2127"/>
    <cellStyle name="Millares 47" xfId="2125"/>
    <cellStyle name="Millares 48" xfId="2128"/>
    <cellStyle name="Millares 49" xfId="2129"/>
    <cellStyle name="Millares 5" xfId="12"/>
    <cellStyle name="Millares 5 10" xfId="879"/>
    <cellStyle name="Millares 5 10 2" xfId="1795"/>
    <cellStyle name="Millares 5 11" xfId="43"/>
    <cellStyle name="Millares 5 11 2" xfId="1929"/>
    <cellStyle name="Millares 5 12" xfId="2067"/>
    <cellStyle name="Millares 5 13" xfId="2205"/>
    <cellStyle name="Millares 5 14" xfId="2346"/>
    <cellStyle name="Millares 5 15" xfId="2483"/>
    <cellStyle name="Millares 5 16" xfId="2622"/>
    <cellStyle name="Millares 5 17" xfId="2756"/>
    <cellStyle name="Millares 5 18" xfId="2891"/>
    <cellStyle name="Millares 5 19" xfId="3027"/>
    <cellStyle name="Millares 5 2" xfId="100"/>
    <cellStyle name="Millares 5 2 10" xfId="2206"/>
    <cellStyle name="Millares 5 2 11" xfId="2347"/>
    <cellStyle name="Millares 5 2 12" xfId="2484"/>
    <cellStyle name="Millares 5 2 13" xfId="2623"/>
    <cellStyle name="Millares 5 2 14" xfId="2757"/>
    <cellStyle name="Millares 5 2 15" xfId="2892"/>
    <cellStyle name="Millares 5 2 16" xfId="3028"/>
    <cellStyle name="Millares 5 2 17" xfId="3164"/>
    <cellStyle name="Millares 5 2 18" xfId="3299"/>
    <cellStyle name="Millares 5 2 19" xfId="3442"/>
    <cellStyle name="Millares 5 2 2" xfId="201"/>
    <cellStyle name="Millares 5 2 2 2" xfId="1117"/>
    <cellStyle name="Millares 5 2 20" xfId="1016"/>
    <cellStyle name="Millares 5 2 3" xfId="336"/>
    <cellStyle name="Millares 5 2 3 2" xfId="1252"/>
    <cellStyle name="Millares 5 2 4" xfId="471"/>
    <cellStyle name="Millares 5 2 4 2" xfId="1387"/>
    <cellStyle name="Millares 5 2 5" xfId="604"/>
    <cellStyle name="Millares 5 2 5 2" xfId="1520"/>
    <cellStyle name="Millares 5 2 6" xfId="740"/>
    <cellStyle name="Millares 5 2 6 2" xfId="1656"/>
    <cellStyle name="Millares 5 2 7" xfId="880"/>
    <cellStyle name="Millares 5 2 7 2" xfId="1796"/>
    <cellStyle name="Millares 5 2 8" xfId="1930"/>
    <cellStyle name="Millares 5 2 9" xfId="2068"/>
    <cellStyle name="Millares 5 20" xfId="3163"/>
    <cellStyle name="Millares 5 21" xfId="3298"/>
    <cellStyle name="Millares 5 22" xfId="3441"/>
    <cellStyle name="Millares 5 23" xfId="959"/>
    <cellStyle name="Millares 5 3" xfId="74"/>
    <cellStyle name="Millares 5 3 10" xfId="2207"/>
    <cellStyle name="Millares 5 3 11" xfId="2348"/>
    <cellStyle name="Millares 5 3 12" xfId="2485"/>
    <cellStyle name="Millares 5 3 13" xfId="2624"/>
    <cellStyle name="Millares 5 3 14" xfId="2758"/>
    <cellStyle name="Millares 5 3 15" xfId="2893"/>
    <cellStyle name="Millares 5 3 16" xfId="3029"/>
    <cellStyle name="Millares 5 3 17" xfId="3165"/>
    <cellStyle name="Millares 5 3 18" xfId="3300"/>
    <cellStyle name="Millares 5 3 19" xfId="3443"/>
    <cellStyle name="Millares 5 3 2" xfId="202"/>
    <cellStyle name="Millares 5 3 2 2" xfId="1118"/>
    <cellStyle name="Millares 5 3 20" xfId="990"/>
    <cellStyle name="Millares 5 3 3" xfId="337"/>
    <cellStyle name="Millares 5 3 3 2" xfId="1253"/>
    <cellStyle name="Millares 5 3 4" xfId="472"/>
    <cellStyle name="Millares 5 3 4 2" xfId="1388"/>
    <cellStyle name="Millares 5 3 5" xfId="605"/>
    <cellStyle name="Millares 5 3 5 2" xfId="1521"/>
    <cellStyle name="Millares 5 3 6" xfId="741"/>
    <cellStyle name="Millares 5 3 6 2" xfId="1657"/>
    <cellStyle name="Millares 5 3 7" xfId="881"/>
    <cellStyle name="Millares 5 3 7 2" xfId="1797"/>
    <cellStyle name="Millares 5 3 8" xfId="1931"/>
    <cellStyle name="Millares 5 3 9" xfId="2069"/>
    <cellStyle name="Millares 5 4" xfId="203"/>
    <cellStyle name="Millares 5 4 10" xfId="2349"/>
    <cellStyle name="Millares 5 4 11" xfId="2486"/>
    <cellStyle name="Millares 5 4 12" xfId="2625"/>
    <cellStyle name="Millares 5 4 13" xfId="2759"/>
    <cellStyle name="Millares 5 4 14" xfId="2894"/>
    <cellStyle name="Millares 5 4 15" xfId="3030"/>
    <cellStyle name="Millares 5 4 16" xfId="3166"/>
    <cellStyle name="Millares 5 4 17" xfId="3301"/>
    <cellStyle name="Millares 5 4 18" xfId="3444"/>
    <cellStyle name="Millares 5 4 19" xfId="1119"/>
    <cellStyle name="Millares 5 4 2" xfId="338"/>
    <cellStyle name="Millares 5 4 2 2" xfId="1254"/>
    <cellStyle name="Millares 5 4 3" xfId="473"/>
    <cellStyle name="Millares 5 4 3 2" xfId="1389"/>
    <cellStyle name="Millares 5 4 4" xfId="606"/>
    <cellStyle name="Millares 5 4 4 2" xfId="1522"/>
    <cellStyle name="Millares 5 4 5" xfId="742"/>
    <cellStyle name="Millares 5 4 5 2" xfId="1658"/>
    <cellStyle name="Millares 5 4 6" xfId="882"/>
    <cellStyle name="Millares 5 4 6 2" xfId="1798"/>
    <cellStyle name="Millares 5 4 7" xfId="1932"/>
    <cellStyle name="Millares 5 4 8" xfId="2070"/>
    <cellStyle name="Millares 5 4 9" xfId="2208"/>
    <cellStyle name="Millares 5 5" xfId="200"/>
    <cellStyle name="Millares 5 5 2" xfId="1116"/>
    <cellStyle name="Millares 5 6" xfId="335"/>
    <cellStyle name="Millares 5 6 2" xfId="1251"/>
    <cellStyle name="Millares 5 7" xfId="470"/>
    <cellStyle name="Millares 5 7 2" xfId="1386"/>
    <cellStyle name="Millares 5 8" xfId="603"/>
    <cellStyle name="Millares 5 8 2" xfId="1519"/>
    <cellStyle name="Millares 5 9" xfId="739"/>
    <cellStyle name="Millares 5 9 2" xfId="1655"/>
    <cellStyle name="Millares 50" xfId="2262"/>
    <cellStyle name="Millares 51" xfId="2263"/>
    <cellStyle name="Millares 52" xfId="2264"/>
    <cellStyle name="Millares 53" xfId="2267"/>
    <cellStyle name="Millares 54" xfId="2265"/>
    <cellStyle name="Millares 55" xfId="2269"/>
    <cellStyle name="Millares 56" xfId="2266"/>
    <cellStyle name="Millares 57" xfId="2268"/>
    <cellStyle name="Millares 58" xfId="2270"/>
    <cellStyle name="Millares 59" xfId="2403"/>
    <cellStyle name="Millares 6" xfId="18"/>
    <cellStyle name="Millares 6 10" xfId="883"/>
    <cellStyle name="Millares 6 10 2" xfId="1799"/>
    <cellStyle name="Millares 6 11" xfId="44"/>
    <cellStyle name="Millares 6 11 2" xfId="1933"/>
    <cellStyle name="Millares 6 12" xfId="2071"/>
    <cellStyle name="Millares 6 13" xfId="2209"/>
    <cellStyle name="Millares 6 14" xfId="2350"/>
    <cellStyle name="Millares 6 15" xfId="2487"/>
    <cellStyle name="Millares 6 16" xfId="2626"/>
    <cellStyle name="Millares 6 17" xfId="2760"/>
    <cellStyle name="Millares 6 18" xfId="2895"/>
    <cellStyle name="Millares 6 19" xfId="3031"/>
    <cellStyle name="Millares 6 2" xfId="101"/>
    <cellStyle name="Millares 6 2 10" xfId="2210"/>
    <cellStyle name="Millares 6 2 11" xfId="2351"/>
    <cellStyle name="Millares 6 2 12" xfId="2488"/>
    <cellStyle name="Millares 6 2 13" xfId="2627"/>
    <cellStyle name="Millares 6 2 14" xfId="2761"/>
    <cellStyle name="Millares 6 2 15" xfId="2896"/>
    <cellStyle name="Millares 6 2 16" xfId="3032"/>
    <cellStyle name="Millares 6 2 17" xfId="3168"/>
    <cellStyle name="Millares 6 2 18" xfId="3303"/>
    <cellStyle name="Millares 6 2 19" xfId="3446"/>
    <cellStyle name="Millares 6 2 2" xfId="205"/>
    <cellStyle name="Millares 6 2 2 2" xfId="1121"/>
    <cellStyle name="Millares 6 2 20" xfId="1017"/>
    <cellStyle name="Millares 6 2 3" xfId="340"/>
    <cellStyle name="Millares 6 2 3 2" xfId="1256"/>
    <cellStyle name="Millares 6 2 4" xfId="475"/>
    <cellStyle name="Millares 6 2 4 2" xfId="1391"/>
    <cellStyle name="Millares 6 2 5" xfId="608"/>
    <cellStyle name="Millares 6 2 5 2" xfId="1524"/>
    <cellStyle name="Millares 6 2 6" xfId="744"/>
    <cellStyle name="Millares 6 2 6 2" xfId="1660"/>
    <cellStyle name="Millares 6 2 7" xfId="884"/>
    <cellStyle name="Millares 6 2 7 2" xfId="1800"/>
    <cellStyle name="Millares 6 2 8" xfId="1934"/>
    <cellStyle name="Millares 6 2 9" xfId="2072"/>
    <cellStyle name="Millares 6 20" xfId="3167"/>
    <cellStyle name="Millares 6 21" xfId="3302"/>
    <cellStyle name="Millares 6 22" xfId="3445"/>
    <cellStyle name="Millares 6 23" xfId="960"/>
    <cellStyle name="Millares 6 3" xfId="75"/>
    <cellStyle name="Millares 6 3 10" xfId="2211"/>
    <cellStyle name="Millares 6 3 11" xfId="2352"/>
    <cellStyle name="Millares 6 3 12" xfId="2489"/>
    <cellStyle name="Millares 6 3 13" xfId="2628"/>
    <cellStyle name="Millares 6 3 14" xfId="2762"/>
    <cellStyle name="Millares 6 3 15" xfId="2897"/>
    <cellStyle name="Millares 6 3 16" xfId="3033"/>
    <cellStyle name="Millares 6 3 17" xfId="3169"/>
    <cellStyle name="Millares 6 3 18" xfId="3304"/>
    <cellStyle name="Millares 6 3 19" xfId="3447"/>
    <cellStyle name="Millares 6 3 2" xfId="206"/>
    <cellStyle name="Millares 6 3 2 2" xfId="1122"/>
    <cellStyle name="Millares 6 3 20" xfId="991"/>
    <cellStyle name="Millares 6 3 3" xfId="341"/>
    <cellStyle name="Millares 6 3 3 2" xfId="1257"/>
    <cellStyle name="Millares 6 3 4" xfId="476"/>
    <cellStyle name="Millares 6 3 4 2" xfId="1392"/>
    <cellStyle name="Millares 6 3 5" xfId="609"/>
    <cellStyle name="Millares 6 3 5 2" xfId="1525"/>
    <cellStyle name="Millares 6 3 6" xfId="745"/>
    <cellStyle name="Millares 6 3 6 2" xfId="1661"/>
    <cellStyle name="Millares 6 3 7" xfId="885"/>
    <cellStyle name="Millares 6 3 7 2" xfId="1801"/>
    <cellStyle name="Millares 6 3 8" xfId="1935"/>
    <cellStyle name="Millares 6 3 9" xfId="2073"/>
    <cellStyle name="Millares 6 4" xfId="207"/>
    <cellStyle name="Millares 6 4 10" xfId="2353"/>
    <cellStyle name="Millares 6 4 11" xfId="2490"/>
    <cellStyle name="Millares 6 4 12" xfId="2629"/>
    <cellStyle name="Millares 6 4 13" xfId="2763"/>
    <cellStyle name="Millares 6 4 14" xfId="2898"/>
    <cellStyle name="Millares 6 4 15" xfId="3034"/>
    <cellStyle name="Millares 6 4 16" xfId="3170"/>
    <cellStyle name="Millares 6 4 17" xfId="3305"/>
    <cellStyle name="Millares 6 4 18" xfId="3448"/>
    <cellStyle name="Millares 6 4 19" xfId="1123"/>
    <cellStyle name="Millares 6 4 2" xfId="342"/>
    <cellStyle name="Millares 6 4 2 2" xfId="1258"/>
    <cellStyle name="Millares 6 4 3" xfId="477"/>
    <cellStyle name="Millares 6 4 3 2" xfId="1393"/>
    <cellStyle name="Millares 6 4 4" xfId="610"/>
    <cellStyle name="Millares 6 4 4 2" xfId="1526"/>
    <cellStyle name="Millares 6 4 5" xfId="746"/>
    <cellStyle name="Millares 6 4 5 2" xfId="1662"/>
    <cellStyle name="Millares 6 4 6" xfId="886"/>
    <cellStyle name="Millares 6 4 6 2" xfId="1802"/>
    <cellStyle name="Millares 6 4 7" xfId="1936"/>
    <cellStyle name="Millares 6 4 8" xfId="2074"/>
    <cellStyle name="Millares 6 4 9" xfId="2212"/>
    <cellStyle name="Millares 6 5" xfId="204"/>
    <cellStyle name="Millares 6 5 2" xfId="1120"/>
    <cellStyle name="Millares 6 6" xfId="339"/>
    <cellStyle name="Millares 6 6 2" xfId="1255"/>
    <cellStyle name="Millares 6 7" xfId="474"/>
    <cellStyle name="Millares 6 7 2" xfId="1390"/>
    <cellStyle name="Millares 6 8" xfId="607"/>
    <cellStyle name="Millares 6 8 2" xfId="1523"/>
    <cellStyle name="Millares 6 9" xfId="743"/>
    <cellStyle name="Millares 6 9 2" xfId="1659"/>
    <cellStyle name="Millares 60" xfId="2404"/>
    <cellStyle name="Millares 61" xfId="2406"/>
    <cellStyle name="Millares 62" xfId="2405"/>
    <cellStyle name="Millares 63" xfId="2407"/>
    <cellStyle name="Millares 64" xfId="2540"/>
    <cellStyle name="Millares 65" xfId="2543"/>
    <cellStyle name="Millares 66" xfId="2541"/>
    <cellStyle name="Millares 67" xfId="2544"/>
    <cellStyle name="Millares 68" xfId="2542"/>
    <cellStyle name="Millares 69" xfId="2545"/>
    <cellStyle name="Millares 7" xfId="19"/>
    <cellStyle name="Millares 7 10" xfId="2075"/>
    <cellStyle name="Millares 7 11" xfId="2213"/>
    <cellStyle name="Millares 7 12" xfId="2354"/>
    <cellStyle name="Millares 7 13" xfId="2491"/>
    <cellStyle name="Millares 7 14" xfId="2630"/>
    <cellStyle name="Millares 7 15" xfId="2764"/>
    <cellStyle name="Millares 7 16" xfId="2899"/>
    <cellStyle name="Millares 7 17" xfId="3035"/>
    <cellStyle name="Millares 7 18" xfId="3171"/>
    <cellStyle name="Millares 7 19" xfId="3306"/>
    <cellStyle name="Millares 7 2" xfId="209"/>
    <cellStyle name="Millares 7 2 10" xfId="2355"/>
    <cellStyle name="Millares 7 2 11" xfId="2492"/>
    <cellStyle name="Millares 7 2 12" xfId="2631"/>
    <cellStyle name="Millares 7 2 13" xfId="2765"/>
    <cellStyle name="Millares 7 2 14" xfId="2900"/>
    <cellStyle name="Millares 7 2 15" xfId="3036"/>
    <cellStyle name="Millares 7 2 16" xfId="3172"/>
    <cellStyle name="Millares 7 2 17" xfId="3307"/>
    <cellStyle name="Millares 7 2 18" xfId="3450"/>
    <cellStyle name="Millares 7 2 19" xfId="1125"/>
    <cellStyle name="Millares 7 2 2" xfId="344"/>
    <cellStyle name="Millares 7 2 2 2" xfId="1260"/>
    <cellStyle name="Millares 7 2 3" xfId="479"/>
    <cellStyle name="Millares 7 2 3 2" xfId="1395"/>
    <cellStyle name="Millares 7 2 4" xfId="612"/>
    <cellStyle name="Millares 7 2 4 2" xfId="1528"/>
    <cellStyle name="Millares 7 2 5" xfId="748"/>
    <cellStyle name="Millares 7 2 5 2" xfId="1664"/>
    <cellStyle name="Millares 7 2 6" xfId="888"/>
    <cellStyle name="Millares 7 2 6 2" xfId="1804"/>
    <cellStyle name="Millares 7 2 7" xfId="1938"/>
    <cellStyle name="Millares 7 2 8" xfId="2076"/>
    <cellStyle name="Millares 7 2 9" xfId="2214"/>
    <cellStyle name="Millares 7 20" xfId="3449"/>
    <cellStyle name="Millares 7 21" xfId="973"/>
    <cellStyle name="Millares 7 3" xfId="208"/>
    <cellStyle name="Millares 7 3 2" xfId="1124"/>
    <cellStyle name="Millares 7 4" xfId="343"/>
    <cellStyle name="Millares 7 4 2" xfId="1259"/>
    <cellStyle name="Millares 7 5" xfId="478"/>
    <cellStyle name="Millares 7 5 2" xfId="1394"/>
    <cellStyle name="Millares 7 6" xfId="611"/>
    <cellStyle name="Millares 7 6 2" xfId="1527"/>
    <cellStyle name="Millares 7 7" xfId="747"/>
    <cellStyle name="Millares 7 7 2" xfId="1663"/>
    <cellStyle name="Millares 7 8" xfId="887"/>
    <cellStyle name="Millares 7 8 2" xfId="1803"/>
    <cellStyle name="Millares 7 9" xfId="57"/>
    <cellStyle name="Millares 7 9 2" xfId="1937"/>
    <cellStyle name="Millares 70" xfId="2546"/>
    <cellStyle name="Millares 71" xfId="2679"/>
    <cellStyle name="Millares 72" xfId="2680"/>
    <cellStyle name="Millares 73" xfId="2813"/>
    <cellStyle name="Millares 74" xfId="2815"/>
    <cellStyle name="Millares 75" xfId="2814"/>
    <cellStyle name="Millares 76" xfId="2948"/>
    <cellStyle name="Millares 77" xfId="2949"/>
    <cellStyle name="Millares 78" xfId="2950"/>
    <cellStyle name="Millares 79" xfId="2951"/>
    <cellStyle name="Millares 8" xfId="22"/>
    <cellStyle name="Millares 8 10" xfId="2077"/>
    <cellStyle name="Millares 8 11" xfId="2215"/>
    <cellStyle name="Millares 8 12" xfId="2356"/>
    <cellStyle name="Millares 8 13" xfId="2493"/>
    <cellStyle name="Millares 8 14" xfId="2632"/>
    <cellStyle name="Millares 8 15" xfId="2766"/>
    <cellStyle name="Millares 8 16" xfId="2901"/>
    <cellStyle name="Millares 8 17" xfId="3037"/>
    <cellStyle name="Millares 8 18" xfId="3173"/>
    <cellStyle name="Millares 8 19" xfId="3308"/>
    <cellStyle name="Millares 8 2" xfId="211"/>
    <cellStyle name="Millares 8 2 10" xfId="2357"/>
    <cellStyle name="Millares 8 2 11" xfId="2494"/>
    <cellStyle name="Millares 8 2 12" xfId="2633"/>
    <cellStyle name="Millares 8 2 13" xfId="2767"/>
    <cellStyle name="Millares 8 2 14" xfId="2902"/>
    <cellStyle name="Millares 8 2 15" xfId="3038"/>
    <cellStyle name="Millares 8 2 16" xfId="3174"/>
    <cellStyle name="Millares 8 2 17" xfId="3309"/>
    <cellStyle name="Millares 8 2 18" xfId="3452"/>
    <cellStyle name="Millares 8 2 19" xfId="1127"/>
    <cellStyle name="Millares 8 2 2" xfId="346"/>
    <cellStyle name="Millares 8 2 2 2" xfId="1262"/>
    <cellStyle name="Millares 8 2 3" xfId="481"/>
    <cellStyle name="Millares 8 2 3 2" xfId="1397"/>
    <cellStyle name="Millares 8 2 4" xfId="614"/>
    <cellStyle name="Millares 8 2 4 2" xfId="1530"/>
    <cellStyle name="Millares 8 2 5" xfId="750"/>
    <cellStyle name="Millares 8 2 5 2" xfId="1666"/>
    <cellStyle name="Millares 8 2 6" xfId="890"/>
    <cellStyle name="Millares 8 2 6 2" xfId="1806"/>
    <cellStyle name="Millares 8 2 7" xfId="1940"/>
    <cellStyle name="Millares 8 2 8" xfId="2078"/>
    <cellStyle name="Millares 8 2 9" xfId="2216"/>
    <cellStyle name="Millares 8 20" xfId="3451"/>
    <cellStyle name="Millares 8 21" xfId="972"/>
    <cellStyle name="Millares 8 3" xfId="210"/>
    <cellStyle name="Millares 8 3 2" xfId="1126"/>
    <cellStyle name="Millares 8 4" xfId="345"/>
    <cellStyle name="Millares 8 4 2" xfId="1261"/>
    <cellStyle name="Millares 8 5" xfId="480"/>
    <cellStyle name="Millares 8 5 2" xfId="1396"/>
    <cellStyle name="Millares 8 6" xfId="613"/>
    <cellStyle name="Millares 8 6 2" xfId="1529"/>
    <cellStyle name="Millares 8 7" xfId="749"/>
    <cellStyle name="Millares 8 7 2" xfId="1665"/>
    <cellStyle name="Millares 8 8" xfId="889"/>
    <cellStyle name="Millares 8 8 2" xfId="1805"/>
    <cellStyle name="Millares 8 9" xfId="56"/>
    <cellStyle name="Millares 8 9 2" xfId="1939"/>
    <cellStyle name="Millares 80" xfId="3085"/>
    <cellStyle name="Millares 81" xfId="3084"/>
    <cellStyle name="Millares 82" xfId="3086"/>
    <cellStyle name="Millares 83" xfId="3087"/>
    <cellStyle name="Millares 84" xfId="3220"/>
    <cellStyle name="Millares 85" xfId="3221"/>
    <cellStyle name="Millares 86" xfId="3222"/>
    <cellStyle name="Millares 87" xfId="3355"/>
    <cellStyle name="Millares 88" xfId="3359"/>
    <cellStyle name="Millares 89" xfId="3361"/>
    <cellStyle name="Millares 9" xfId="21"/>
    <cellStyle name="Millares 9 10" xfId="2079"/>
    <cellStyle name="Millares 9 11" xfId="2217"/>
    <cellStyle name="Millares 9 12" xfId="2358"/>
    <cellStyle name="Millares 9 13" xfId="2495"/>
    <cellStyle name="Millares 9 14" xfId="2634"/>
    <cellStyle name="Millares 9 15" xfId="2768"/>
    <cellStyle name="Millares 9 16" xfId="2903"/>
    <cellStyle name="Millares 9 17" xfId="3039"/>
    <cellStyle name="Millares 9 18" xfId="3175"/>
    <cellStyle name="Millares 9 19" xfId="3310"/>
    <cellStyle name="Millares 9 2" xfId="84"/>
    <cellStyle name="Millares 9 2 10" xfId="2218"/>
    <cellStyle name="Millares 9 2 11" xfId="2359"/>
    <cellStyle name="Millares 9 2 12" xfId="2496"/>
    <cellStyle name="Millares 9 2 13" xfId="2635"/>
    <cellStyle name="Millares 9 2 14" xfId="2769"/>
    <cellStyle name="Millares 9 2 15" xfId="2904"/>
    <cellStyle name="Millares 9 2 16" xfId="3040"/>
    <cellStyle name="Millares 9 2 17" xfId="3176"/>
    <cellStyle name="Millares 9 2 18" xfId="3311"/>
    <cellStyle name="Millares 9 2 19" xfId="3454"/>
    <cellStyle name="Millares 9 2 2" xfId="213"/>
    <cellStyle name="Millares 9 2 2 2" xfId="1129"/>
    <cellStyle name="Millares 9 2 20" xfId="1000"/>
    <cellStyle name="Millares 9 2 3" xfId="348"/>
    <cellStyle name="Millares 9 2 3 2" xfId="1264"/>
    <cellStyle name="Millares 9 2 4" xfId="483"/>
    <cellStyle name="Millares 9 2 4 2" xfId="1399"/>
    <cellStyle name="Millares 9 2 5" xfId="616"/>
    <cellStyle name="Millares 9 2 5 2" xfId="1532"/>
    <cellStyle name="Millares 9 2 6" xfId="752"/>
    <cellStyle name="Millares 9 2 6 2" xfId="1668"/>
    <cellStyle name="Millares 9 2 7" xfId="892"/>
    <cellStyle name="Millares 9 2 7 2" xfId="1808"/>
    <cellStyle name="Millares 9 2 8" xfId="1942"/>
    <cellStyle name="Millares 9 2 9" xfId="2080"/>
    <cellStyle name="Millares 9 20" xfId="3453"/>
    <cellStyle name="Millares 9 21" xfId="969"/>
    <cellStyle name="Millares 9 3" xfId="212"/>
    <cellStyle name="Millares 9 3 2" xfId="1128"/>
    <cellStyle name="Millares 9 4" xfId="347"/>
    <cellStyle name="Millares 9 4 2" xfId="1263"/>
    <cellStyle name="Millares 9 5" xfId="482"/>
    <cellStyle name="Millares 9 5 2" xfId="1398"/>
    <cellStyle name="Millares 9 6" xfId="615"/>
    <cellStyle name="Millares 9 6 2" xfId="1531"/>
    <cellStyle name="Millares 9 7" xfId="751"/>
    <cellStyle name="Millares 9 7 2" xfId="1667"/>
    <cellStyle name="Millares 9 8" xfId="891"/>
    <cellStyle name="Millares 9 8 2" xfId="1807"/>
    <cellStyle name="Millares 9 9" xfId="53"/>
    <cellStyle name="Millares 9 9 2" xfId="1941"/>
    <cellStyle name="Millares 90" xfId="3358"/>
    <cellStyle name="Millares 91" xfId="3360"/>
    <cellStyle name="Millares 92" xfId="3357"/>
    <cellStyle name="Millares 93" xfId="3362"/>
    <cellStyle name="Millares 94" xfId="3363"/>
    <cellStyle name="Millares 95" xfId="3364"/>
    <cellStyle name="Millares 96" xfId="3356"/>
    <cellStyle name="Millares 97" xfId="3365"/>
    <cellStyle name="Millares 98" xfId="3498"/>
    <cellStyle name="Millares 99" xfId="3500"/>
    <cellStyle name="Moneda" xfId="3508" builtinId="4"/>
    <cellStyle name="Moneda 10" xfId="214"/>
    <cellStyle name="Moneda 10 2" xfId="1130"/>
    <cellStyle name="Moneda 11" xfId="349"/>
    <cellStyle name="Moneda 11 2" xfId="1265"/>
    <cellStyle name="Moneda 12" xfId="484"/>
    <cellStyle name="Moneda 12 2" xfId="1400"/>
    <cellStyle name="Moneda 13" xfId="617"/>
    <cellStyle name="Moneda 13 2" xfId="1533"/>
    <cellStyle name="Moneda 14" xfId="753"/>
    <cellStyle name="Moneda 14 2" xfId="1669"/>
    <cellStyle name="Moneda 15" xfId="893"/>
    <cellStyle name="Moneda 15 2" xfId="1809"/>
    <cellStyle name="Moneda 16" xfId="28"/>
    <cellStyle name="Moneda 16 2" xfId="1943"/>
    <cellStyle name="Moneda 17" xfId="2081"/>
    <cellStyle name="Moneda 18" xfId="2219"/>
    <cellStyle name="Moneda 19" xfId="2360"/>
    <cellStyle name="Moneda 2" xfId="4"/>
    <cellStyle name="Moneda 2 2" xfId="17"/>
    <cellStyle name="Moneda 2 2 10" xfId="485"/>
    <cellStyle name="Moneda 2 2 10 2" xfId="1401"/>
    <cellStyle name="Moneda 2 2 11" xfId="618"/>
    <cellStyle name="Moneda 2 2 11 2" xfId="1534"/>
    <cellStyle name="Moneda 2 2 12" xfId="754"/>
    <cellStyle name="Moneda 2 2 12 2" xfId="1670"/>
    <cellStyle name="Moneda 2 2 13" xfId="894"/>
    <cellStyle name="Moneda 2 2 13 2" xfId="1810"/>
    <cellStyle name="Moneda 2 2 14" xfId="33"/>
    <cellStyle name="Moneda 2 2 14 2" xfId="1944"/>
    <cellStyle name="Moneda 2 2 15" xfId="2082"/>
    <cellStyle name="Moneda 2 2 16" xfId="2220"/>
    <cellStyle name="Moneda 2 2 17" xfId="2361"/>
    <cellStyle name="Moneda 2 2 18" xfId="2498"/>
    <cellStyle name="Moneda 2 2 19" xfId="2637"/>
    <cellStyle name="Moneda 2 2 2" xfId="41"/>
    <cellStyle name="Moneda 2 2 2 10" xfId="895"/>
    <cellStyle name="Moneda 2 2 2 10 2" xfId="1811"/>
    <cellStyle name="Moneda 2 2 2 11" xfId="1945"/>
    <cellStyle name="Moneda 2 2 2 12" xfId="2083"/>
    <cellStyle name="Moneda 2 2 2 13" xfId="2221"/>
    <cellStyle name="Moneda 2 2 2 14" xfId="2362"/>
    <cellStyle name="Moneda 2 2 2 15" xfId="2499"/>
    <cellStyle name="Moneda 2 2 2 16" xfId="2638"/>
    <cellStyle name="Moneda 2 2 2 17" xfId="2772"/>
    <cellStyle name="Moneda 2 2 2 18" xfId="2907"/>
    <cellStyle name="Moneda 2 2 2 19" xfId="3043"/>
    <cellStyle name="Moneda 2 2 2 2" xfId="98"/>
    <cellStyle name="Moneda 2 2 2 2 10" xfId="2222"/>
    <cellStyle name="Moneda 2 2 2 2 11" xfId="2363"/>
    <cellStyle name="Moneda 2 2 2 2 12" xfId="2500"/>
    <cellStyle name="Moneda 2 2 2 2 13" xfId="2639"/>
    <cellStyle name="Moneda 2 2 2 2 14" xfId="2773"/>
    <cellStyle name="Moneda 2 2 2 2 15" xfId="2908"/>
    <cellStyle name="Moneda 2 2 2 2 16" xfId="3044"/>
    <cellStyle name="Moneda 2 2 2 2 17" xfId="3180"/>
    <cellStyle name="Moneda 2 2 2 2 18" xfId="3315"/>
    <cellStyle name="Moneda 2 2 2 2 19" xfId="3458"/>
    <cellStyle name="Moneda 2 2 2 2 2" xfId="217"/>
    <cellStyle name="Moneda 2 2 2 2 2 2" xfId="1133"/>
    <cellStyle name="Moneda 2 2 2 2 20" xfId="1014"/>
    <cellStyle name="Moneda 2 2 2 2 3" xfId="352"/>
    <cellStyle name="Moneda 2 2 2 2 3 2" xfId="1268"/>
    <cellStyle name="Moneda 2 2 2 2 4" xfId="487"/>
    <cellStyle name="Moneda 2 2 2 2 4 2" xfId="1403"/>
    <cellStyle name="Moneda 2 2 2 2 5" xfId="620"/>
    <cellStyle name="Moneda 2 2 2 2 5 2" xfId="1536"/>
    <cellStyle name="Moneda 2 2 2 2 6" xfId="756"/>
    <cellStyle name="Moneda 2 2 2 2 6 2" xfId="1672"/>
    <cellStyle name="Moneda 2 2 2 2 7" xfId="896"/>
    <cellStyle name="Moneda 2 2 2 2 7 2" xfId="1812"/>
    <cellStyle name="Moneda 2 2 2 2 8" xfId="1946"/>
    <cellStyle name="Moneda 2 2 2 2 9" xfId="2084"/>
    <cellStyle name="Moneda 2 2 2 20" xfId="3179"/>
    <cellStyle name="Moneda 2 2 2 21" xfId="3314"/>
    <cellStyle name="Moneda 2 2 2 22" xfId="3457"/>
    <cellStyle name="Moneda 2 2 2 23" xfId="957"/>
    <cellStyle name="Moneda 2 2 2 3" xfId="72"/>
    <cellStyle name="Moneda 2 2 2 3 10" xfId="2223"/>
    <cellStyle name="Moneda 2 2 2 3 11" xfId="2364"/>
    <cellStyle name="Moneda 2 2 2 3 12" xfId="2501"/>
    <cellStyle name="Moneda 2 2 2 3 13" xfId="2640"/>
    <cellStyle name="Moneda 2 2 2 3 14" xfId="2774"/>
    <cellStyle name="Moneda 2 2 2 3 15" xfId="2909"/>
    <cellStyle name="Moneda 2 2 2 3 16" xfId="3045"/>
    <cellStyle name="Moneda 2 2 2 3 17" xfId="3181"/>
    <cellStyle name="Moneda 2 2 2 3 18" xfId="3316"/>
    <cellStyle name="Moneda 2 2 2 3 19" xfId="3459"/>
    <cellStyle name="Moneda 2 2 2 3 2" xfId="218"/>
    <cellStyle name="Moneda 2 2 2 3 2 2" xfId="1134"/>
    <cellStyle name="Moneda 2 2 2 3 20" xfId="988"/>
    <cellStyle name="Moneda 2 2 2 3 3" xfId="353"/>
    <cellStyle name="Moneda 2 2 2 3 3 2" xfId="1269"/>
    <cellStyle name="Moneda 2 2 2 3 4" xfId="488"/>
    <cellStyle name="Moneda 2 2 2 3 4 2" xfId="1404"/>
    <cellStyle name="Moneda 2 2 2 3 5" xfId="621"/>
    <cellStyle name="Moneda 2 2 2 3 5 2" xfId="1537"/>
    <cellStyle name="Moneda 2 2 2 3 6" xfId="757"/>
    <cellStyle name="Moneda 2 2 2 3 6 2" xfId="1673"/>
    <cellStyle name="Moneda 2 2 2 3 7" xfId="897"/>
    <cellStyle name="Moneda 2 2 2 3 7 2" xfId="1813"/>
    <cellStyle name="Moneda 2 2 2 3 8" xfId="1947"/>
    <cellStyle name="Moneda 2 2 2 3 9" xfId="2085"/>
    <cellStyle name="Moneda 2 2 2 4" xfId="219"/>
    <cellStyle name="Moneda 2 2 2 4 10" xfId="2365"/>
    <cellStyle name="Moneda 2 2 2 4 11" xfId="2502"/>
    <cellStyle name="Moneda 2 2 2 4 12" xfId="2641"/>
    <cellStyle name="Moneda 2 2 2 4 13" xfId="2775"/>
    <cellStyle name="Moneda 2 2 2 4 14" xfId="2910"/>
    <cellStyle name="Moneda 2 2 2 4 15" xfId="3046"/>
    <cellStyle name="Moneda 2 2 2 4 16" xfId="3182"/>
    <cellStyle name="Moneda 2 2 2 4 17" xfId="3317"/>
    <cellStyle name="Moneda 2 2 2 4 18" xfId="3460"/>
    <cellStyle name="Moneda 2 2 2 4 19" xfId="1135"/>
    <cellStyle name="Moneda 2 2 2 4 2" xfId="354"/>
    <cellStyle name="Moneda 2 2 2 4 2 2" xfId="1270"/>
    <cellStyle name="Moneda 2 2 2 4 3" xfId="489"/>
    <cellStyle name="Moneda 2 2 2 4 3 2" xfId="1405"/>
    <cellStyle name="Moneda 2 2 2 4 4" xfId="622"/>
    <cellStyle name="Moneda 2 2 2 4 4 2" xfId="1538"/>
    <cellStyle name="Moneda 2 2 2 4 5" xfId="758"/>
    <cellStyle name="Moneda 2 2 2 4 5 2" xfId="1674"/>
    <cellStyle name="Moneda 2 2 2 4 6" xfId="898"/>
    <cellStyle name="Moneda 2 2 2 4 6 2" xfId="1814"/>
    <cellStyle name="Moneda 2 2 2 4 7" xfId="1948"/>
    <cellStyle name="Moneda 2 2 2 4 8" xfId="2086"/>
    <cellStyle name="Moneda 2 2 2 4 9" xfId="2224"/>
    <cellStyle name="Moneda 2 2 2 5" xfId="216"/>
    <cellStyle name="Moneda 2 2 2 5 2" xfId="1132"/>
    <cellStyle name="Moneda 2 2 2 6" xfId="351"/>
    <cellStyle name="Moneda 2 2 2 6 2" xfId="1267"/>
    <cellStyle name="Moneda 2 2 2 7" xfId="486"/>
    <cellStyle name="Moneda 2 2 2 7 2" xfId="1402"/>
    <cellStyle name="Moneda 2 2 2 8" xfId="619"/>
    <cellStyle name="Moneda 2 2 2 8 2" xfId="1535"/>
    <cellStyle name="Moneda 2 2 2 9" xfId="755"/>
    <cellStyle name="Moneda 2 2 2 9 2" xfId="1671"/>
    <cellStyle name="Moneda 2 2 20" xfId="2771"/>
    <cellStyle name="Moneda 2 2 21" xfId="2906"/>
    <cellStyle name="Moneda 2 2 22" xfId="3042"/>
    <cellStyle name="Moneda 2 2 23" xfId="3178"/>
    <cellStyle name="Moneda 2 2 24" xfId="3313"/>
    <cellStyle name="Moneda 2 2 25" xfId="3456"/>
    <cellStyle name="Moneda 2 2 26" xfId="949"/>
    <cellStyle name="Moneda 2 2 3" xfId="51"/>
    <cellStyle name="Moneda 2 2 3 10" xfId="899"/>
    <cellStyle name="Moneda 2 2 3 10 2" xfId="1815"/>
    <cellStyle name="Moneda 2 2 3 11" xfId="1949"/>
    <cellStyle name="Moneda 2 2 3 12" xfId="2087"/>
    <cellStyle name="Moneda 2 2 3 13" xfId="2225"/>
    <cellStyle name="Moneda 2 2 3 14" xfId="2366"/>
    <cellStyle name="Moneda 2 2 3 15" xfId="2503"/>
    <cellStyle name="Moneda 2 2 3 16" xfId="2642"/>
    <cellStyle name="Moneda 2 2 3 17" xfId="2776"/>
    <cellStyle name="Moneda 2 2 3 18" xfId="2911"/>
    <cellStyle name="Moneda 2 2 3 19" xfId="3047"/>
    <cellStyle name="Moneda 2 2 3 2" xfId="108"/>
    <cellStyle name="Moneda 2 2 3 2 10" xfId="2226"/>
    <cellStyle name="Moneda 2 2 3 2 11" xfId="2367"/>
    <cellStyle name="Moneda 2 2 3 2 12" xfId="2504"/>
    <cellStyle name="Moneda 2 2 3 2 13" xfId="2643"/>
    <cellStyle name="Moneda 2 2 3 2 14" xfId="2777"/>
    <cellStyle name="Moneda 2 2 3 2 15" xfId="2912"/>
    <cellStyle name="Moneda 2 2 3 2 16" xfId="3048"/>
    <cellStyle name="Moneda 2 2 3 2 17" xfId="3184"/>
    <cellStyle name="Moneda 2 2 3 2 18" xfId="3319"/>
    <cellStyle name="Moneda 2 2 3 2 19" xfId="3462"/>
    <cellStyle name="Moneda 2 2 3 2 2" xfId="221"/>
    <cellStyle name="Moneda 2 2 3 2 2 2" xfId="1137"/>
    <cellStyle name="Moneda 2 2 3 2 20" xfId="1024"/>
    <cellStyle name="Moneda 2 2 3 2 3" xfId="356"/>
    <cellStyle name="Moneda 2 2 3 2 3 2" xfId="1272"/>
    <cellStyle name="Moneda 2 2 3 2 4" xfId="491"/>
    <cellStyle name="Moneda 2 2 3 2 4 2" xfId="1407"/>
    <cellStyle name="Moneda 2 2 3 2 5" xfId="624"/>
    <cellStyle name="Moneda 2 2 3 2 5 2" xfId="1540"/>
    <cellStyle name="Moneda 2 2 3 2 6" xfId="760"/>
    <cellStyle name="Moneda 2 2 3 2 6 2" xfId="1676"/>
    <cellStyle name="Moneda 2 2 3 2 7" xfId="900"/>
    <cellStyle name="Moneda 2 2 3 2 7 2" xfId="1816"/>
    <cellStyle name="Moneda 2 2 3 2 8" xfId="1950"/>
    <cellStyle name="Moneda 2 2 3 2 9" xfId="2088"/>
    <cellStyle name="Moneda 2 2 3 20" xfId="3183"/>
    <cellStyle name="Moneda 2 2 3 21" xfId="3318"/>
    <cellStyle name="Moneda 2 2 3 22" xfId="3461"/>
    <cellStyle name="Moneda 2 2 3 23" xfId="967"/>
    <cellStyle name="Moneda 2 2 3 3" xfId="82"/>
    <cellStyle name="Moneda 2 2 3 3 10" xfId="2227"/>
    <cellStyle name="Moneda 2 2 3 3 11" xfId="2368"/>
    <cellStyle name="Moneda 2 2 3 3 12" xfId="2505"/>
    <cellStyle name="Moneda 2 2 3 3 13" xfId="2644"/>
    <cellStyle name="Moneda 2 2 3 3 14" xfId="2778"/>
    <cellStyle name="Moneda 2 2 3 3 15" xfId="2913"/>
    <cellStyle name="Moneda 2 2 3 3 16" xfId="3049"/>
    <cellStyle name="Moneda 2 2 3 3 17" xfId="3185"/>
    <cellStyle name="Moneda 2 2 3 3 18" xfId="3320"/>
    <cellStyle name="Moneda 2 2 3 3 19" xfId="3463"/>
    <cellStyle name="Moneda 2 2 3 3 2" xfId="222"/>
    <cellStyle name="Moneda 2 2 3 3 2 2" xfId="1138"/>
    <cellStyle name="Moneda 2 2 3 3 20" xfId="998"/>
    <cellStyle name="Moneda 2 2 3 3 3" xfId="357"/>
    <cellStyle name="Moneda 2 2 3 3 3 2" xfId="1273"/>
    <cellStyle name="Moneda 2 2 3 3 4" xfId="492"/>
    <cellStyle name="Moneda 2 2 3 3 4 2" xfId="1408"/>
    <cellStyle name="Moneda 2 2 3 3 5" xfId="625"/>
    <cellStyle name="Moneda 2 2 3 3 5 2" xfId="1541"/>
    <cellStyle name="Moneda 2 2 3 3 6" xfId="761"/>
    <cellStyle name="Moneda 2 2 3 3 6 2" xfId="1677"/>
    <cellStyle name="Moneda 2 2 3 3 7" xfId="901"/>
    <cellStyle name="Moneda 2 2 3 3 7 2" xfId="1817"/>
    <cellStyle name="Moneda 2 2 3 3 8" xfId="1951"/>
    <cellStyle name="Moneda 2 2 3 3 9" xfId="2089"/>
    <cellStyle name="Moneda 2 2 3 4" xfId="223"/>
    <cellStyle name="Moneda 2 2 3 4 10" xfId="2369"/>
    <cellStyle name="Moneda 2 2 3 4 11" xfId="2506"/>
    <cellStyle name="Moneda 2 2 3 4 12" xfId="2645"/>
    <cellStyle name="Moneda 2 2 3 4 13" xfId="2779"/>
    <cellStyle name="Moneda 2 2 3 4 14" xfId="2914"/>
    <cellStyle name="Moneda 2 2 3 4 15" xfId="3050"/>
    <cellStyle name="Moneda 2 2 3 4 16" xfId="3186"/>
    <cellStyle name="Moneda 2 2 3 4 17" xfId="3321"/>
    <cellStyle name="Moneda 2 2 3 4 18" xfId="3464"/>
    <cellStyle name="Moneda 2 2 3 4 19" xfId="1139"/>
    <cellStyle name="Moneda 2 2 3 4 2" xfId="358"/>
    <cellStyle name="Moneda 2 2 3 4 2 2" xfId="1274"/>
    <cellStyle name="Moneda 2 2 3 4 3" xfId="493"/>
    <cellStyle name="Moneda 2 2 3 4 3 2" xfId="1409"/>
    <cellStyle name="Moneda 2 2 3 4 4" xfId="626"/>
    <cellStyle name="Moneda 2 2 3 4 4 2" xfId="1542"/>
    <cellStyle name="Moneda 2 2 3 4 5" xfId="762"/>
    <cellStyle name="Moneda 2 2 3 4 5 2" xfId="1678"/>
    <cellStyle name="Moneda 2 2 3 4 6" xfId="902"/>
    <cellStyle name="Moneda 2 2 3 4 6 2" xfId="1818"/>
    <cellStyle name="Moneda 2 2 3 4 7" xfId="1952"/>
    <cellStyle name="Moneda 2 2 3 4 8" xfId="2090"/>
    <cellStyle name="Moneda 2 2 3 4 9" xfId="2228"/>
    <cellStyle name="Moneda 2 2 3 5" xfId="220"/>
    <cellStyle name="Moneda 2 2 3 5 2" xfId="1136"/>
    <cellStyle name="Moneda 2 2 3 6" xfId="355"/>
    <cellStyle name="Moneda 2 2 3 6 2" xfId="1271"/>
    <cellStyle name="Moneda 2 2 3 7" xfId="490"/>
    <cellStyle name="Moneda 2 2 3 7 2" xfId="1406"/>
    <cellStyle name="Moneda 2 2 3 8" xfId="623"/>
    <cellStyle name="Moneda 2 2 3 8 2" xfId="1539"/>
    <cellStyle name="Moneda 2 2 3 9" xfId="759"/>
    <cellStyle name="Moneda 2 2 3 9 2" xfId="1675"/>
    <cellStyle name="Moneda 2 2 4" xfId="90"/>
    <cellStyle name="Moneda 2 2 4 10" xfId="2091"/>
    <cellStyle name="Moneda 2 2 4 11" xfId="2229"/>
    <cellStyle name="Moneda 2 2 4 12" xfId="2370"/>
    <cellStyle name="Moneda 2 2 4 13" xfId="2507"/>
    <cellStyle name="Moneda 2 2 4 14" xfId="2646"/>
    <cellStyle name="Moneda 2 2 4 15" xfId="2780"/>
    <cellStyle name="Moneda 2 2 4 16" xfId="2915"/>
    <cellStyle name="Moneda 2 2 4 17" xfId="3051"/>
    <cellStyle name="Moneda 2 2 4 18" xfId="3187"/>
    <cellStyle name="Moneda 2 2 4 19" xfId="3322"/>
    <cellStyle name="Moneda 2 2 4 2" xfId="225"/>
    <cellStyle name="Moneda 2 2 4 2 10" xfId="2371"/>
    <cellStyle name="Moneda 2 2 4 2 11" xfId="2508"/>
    <cellStyle name="Moneda 2 2 4 2 12" xfId="2647"/>
    <cellStyle name="Moneda 2 2 4 2 13" xfId="2781"/>
    <cellStyle name="Moneda 2 2 4 2 14" xfId="2916"/>
    <cellStyle name="Moneda 2 2 4 2 15" xfId="3052"/>
    <cellStyle name="Moneda 2 2 4 2 16" xfId="3188"/>
    <cellStyle name="Moneda 2 2 4 2 17" xfId="3323"/>
    <cellStyle name="Moneda 2 2 4 2 18" xfId="3466"/>
    <cellStyle name="Moneda 2 2 4 2 19" xfId="1141"/>
    <cellStyle name="Moneda 2 2 4 2 2" xfId="360"/>
    <cellStyle name="Moneda 2 2 4 2 2 2" xfId="1276"/>
    <cellStyle name="Moneda 2 2 4 2 3" xfId="495"/>
    <cellStyle name="Moneda 2 2 4 2 3 2" xfId="1411"/>
    <cellStyle name="Moneda 2 2 4 2 4" xfId="628"/>
    <cellStyle name="Moneda 2 2 4 2 4 2" xfId="1544"/>
    <cellStyle name="Moneda 2 2 4 2 5" xfId="764"/>
    <cellStyle name="Moneda 2 2 4 2 5 2" xfId="1680"/>
    <cellStyle name="Moneda 2 2 4 2 6" xfId="904"/>
    <cellStyle name="Moneda 2 2 4 2 6 2" xfId="1820"/>
    <cellStyle name="Moneda 2 2 4 2 7" xfId="1954"/>
    <cellStyle name="Moneda 2 2 4 2 8" xfId="2092"/>
    <cellStyle name="Moneda 2 2 4 2 9" xfId="2230"/>
    <cellStyle name="Moneda 2 2 4 20" xfId="3465"/>
    <cellStyle name="Moneda 2 2 4 21" xfId="1006"/>
    <cellStyle name="Moneda 2 2 4 3" xfId="224"/>
    <cellStyle name="Moneda 2 2 4 3 2" xfId="1140"/>
    <cellStyle name="Moneda 2 2 4 4" xfId="359"/>
    <cellStyle name="Moneda 2 2 4 4 2" xfId="1275"/>
    <cellStyle name="Moneda 2 2 4 5" xfId="494"/>
    <cellStyle name="Moneda 2 2 4 5 2" xfId="1410"/>
    <cellStyle name="Moneda 2 2 4 6" xfId="627"/>
    <cellStyle name="Moneda 2 2 4 6 2" xfId="1543"/>
    <cellStyle name="Moneda 2 2 4 7" xfId="763"/>
    <cellStyle name="Moneda 2 2 4 7 2" xfId="1679"/>
    <cellStyle name="Moneda 2 2 4 8" xfId="903"/>
    <cellStyle name="Moneda 2 2 4 8 2" xfId="1819"/>
    <cellStyle name="Moneda 2 2 4 9" xfId="1953"/>
    <cellStyle name="Moneda 2 2 5" xfId="64"/>
    <cellStyle name="Moneda 2 2 5 10" xfId="2231"/>
    <cellStyle name="Moneda 2 2 5 11" xfId="2372"/>
    <cellStyle name="Moneda 2 2 5 12" xfId="2509"/>
    <cellStyle name="Moneda 2 2 5 13" xfId="2648"/>
    <cellStyle name="Moneda 2 2 5 14" xfId="2782"/>
    <cellStyle name="Moneda 2 2 5 15" xfId="2917"/>
    <cellStyle name="Moneda 2 2 5 16" xfId="3053"/>
    <cellStyle name="Moneda 2 2 5 17" xfId="3189"/>
    <cellStyle name="Moneda 2 2 5 18" xfId="3324"/>
    <cellStyle name="Moneda 2 2 5 19" xfId="3467"/>
    <cellStyle name="Moneda 2 2 5 2" xfId="226"/>
    <cellStyle name="Moneda 2 2 5 2 2" xfId="1142"/>
    <cellStyle name="Moneda 2 2 5 20" xfId="980"/>
    <cellStyle name="Moneda 2 2 5 3" xfId="361"/>
    <cellStyle name="Moneda 2 2 5 3 2" xfId="1277"/>
    <cellStyle name="Moneda 2 2 5 4" xfId="496"/>
    <cellStyle name="Moneda 2 2 5 4 2" xfId="1412"/>
    <cellStyle name="Moneda 2 2 5 5" xfId="629"/>
    <cellStyle name="Moneda 2 2 5 5 2" xfId="1545"/>
    <cellStyle name="Moneda 2 2 5 6" xfId="765"/>
    <cellStyle name="Moneda 2 2 5 6 2" xfId="1681"/>
    <cellStyle name="Moneda 2 2 5 7" xfId="905"/>
    <cellStyle name="Moneda 2 2 5 7 2" xfId="1821"/>
    <cellStyle name="Moneda 2 2 5 8" xfId="1955"/>
    <cellStyle name="Moneda 2 2 5 9" xfId="2093"/>
    <cellStyle name="Moneda 2 2 6" xfId="120"/>
    <cellStyle name="Moneda 2 2 6 10" xfId="2232"/>
    <cellStyle name="Moneda 2 2 6 11" xfId="2373"/>
    <cellStyle name="Moneda 2 2 6 12" xfId="2510"/>
    <cellStyle name="Moneda 2 2 6 13" xfId="2649"/>
    <cellStyle name="Moneda 2 2 6 14" xfId="2783"/>
    <cellStyle name="Moneda 2 2 6 15" xfId="2918"/>
    <cellStyle name="Moneda 2 2 6 16" xfId="3054"/>
    <cellStyle name="Moneda 2 2 6 17" xfId="3190"/>
    <cellStyle name="Moneda 2 2 6 18" xfId="3325"/>
    <cellStyle name="Moneda 2 2 6 19" xfId="3468"/>
    <cellStyle name="Moneda 2 2 6 2" xfId="227"/>
    <cellStyle name="Moneda 2 2 6 2 2" xfId="1143"/>
    <cellStyle name="Moneda 2 2 6 20" xfId="1036"/>
    <cellStyle name="Moneda 2 2 6 3" xfId="362"/>
    <cellStyle name="Moneda 2 2 6 3 2" xfId="1278"/>
    <cellStyle name="Moneda 2 2 6 4" xfId="497"/>
    <cellStyle name="Moneda 2 2 6 4 2" xfId="1413"/>
    <cellStyle name="Moneda 2 2 6 5" xfId="630"/>
    <cellStyle name="Moneda 2 2 6 5 2" xfId="1546"/>
    <cellStyle name="Moneda 2 2 6 6" xfId="766"/>
    <cellStyle name="Moneda 2 2 6 6 2" xfId="1682"/>
    <cellStyle name="Moneda 2 2 6 7" xfId="906"/>
    <cellStyle name="Moneda 2 2 6 7 2" xfId="1822"/>
    <cellStyle name="Moneda 2 2 6 8" xfId="1956"/>
    <cellStyle name="Moneda 2 2 6 9" xfId="2094"/>
    <cellStyle name="Moneda 2 2 7" xfId="228"/>
    <cellStyle name="Moneda 2 2 7 10" xfId="2374"/>
    <cellStyle name="Moneda 2 2 7 11" xfId="2511"/>
    <cellStyle name="Moneda 2 2 7 12" xfId="2650"/>
    <cellStyle name="Moneda 2 2 7 13" xfId="2784"/>
    <cellStyle name="Moneda 2 2 7 14" xfId="2919"/>
    <cellStyle name="Moneda 2 2 7 15" xfId="3055"/>
    <cellStyle name="Moneda 2 2 7 16" xfId="3191"/>
    <cellStyle name="Moneda 2 2 7 17" xfId="3326"/>
    <cellStyle name="Moneda 2 2 7 18" xfId="3469"/>
    <cellStyle name="Moneda 2 2 7 19" xfId="1144"/>
    <cellStyle name="Moneda 2 2 7 2" xfId="363"/>
    <cellStyle name="Moneda 2 2 7 2 2" xfId="1279"/>
    <cellStyle name="Moneda 2 2 7 3" xfId="498"/>
    <cellStyle name="Moneda 2 2 7 3 2" xfId="1414"/>
    <cellStyle name="Moneda 2 2 7 4" xfId="631"/>
    <cellStyle name="Moneda 2 2 7 4 2" xfId="1547"/>
    <cellStyle name="Moneda 2 2 7 5" xfId="767"/>
    <cellStyle name="Moneda 2 2 7 5 2" xfId="1683"/>
    <cellStyle name="Moneda 2 2 7 6" xfId="907"/>
    <cellStyle name="Moneda 2 2 7 6 2" xfId="1823"/>
    <cellStyle name="Moneda 2 2 7 7" xfId="1957"/>
    <cellStyle name="Moneda 2 2 7 8" xfId="2095"/>
    <cellStyle name="Moneda 2 2 7 9" xfId="2233"/>
    <cellStyle name="Moneda 2 2 8" xfId="215"/>
    <cellStyle name="Moneda 2 2 8 2" xfId="1131"/>
    <cellStyle name="Moneda 2 2 9" xfId="350"/>
    <cellStyle name="Moneda 2 2 9 2" xfId="1266"/>
    <cellStyle name="Moneda 2 3" xfId="10"/>
    <cellStyle name="Moneda 2 3 10" xfId="2234"/>
    <cellStyle name="Moneda 2 3 11" xfId="2375"/>
    <cellStyle name="Moneda 2 3 12" xfId="2512"/>
    <cellStyle name="Moneda 2 3 13" xfId="2651"/>
    <cellStyle name="Moneda 2 3 14" xfId="2785"/>
    <cellStyle name="Moneda 2 3 15" xfId="2920"/>
    <cellStyle name="Moneda 2 3 16" xfId="3056"/>
    <cellStyle name="Moneda 2 3 17" xfId="3192"/>
    <cellStyle name="Moneda 2 3 18" xfId="3327"/>
    <cellStyle name="Moneda 2 3 19" xfId="3470"/>
    <cellStyle name="Moneda 2 3 2" xfId="229"/>
    <cellStyle name="Moneda 2 3 2 2" xfId="1145"/>
    <cellStyle name="Moneda 2 3 20" xfId="974"/>
    <cellStyle name="Moneda 2 3 3" xfId="364"/>
    <cellStyle name="Moneda 2 3 3 2" xfId="1280"/>
    <cellStyle name="Moneda 2 3 4" xfId="499"/>
    <cellStyle name="Moneda 2 3 4 2" xfId="1415"/>
    <cellStyle name="Moneda 2 3 5" xfId="632"/>
    <cellStyle name="Moneda 2 3 5 2" xfId="1548"/>
    <cellStyle name="Moneda 2 3 6" xfId="768"/>
    <cellStyle name="Moneda 2 3 6 2" xfId="1684"/>
    <cellStyle name="Moneda 2 3 7" xfId="908"/>
    <cellStyle name="Moneda 2 3 7 2" xfId="1824"/>
    <cellStyle name="Moneda 2 3 8" xfId="58"/>
    <cellStyle name="Moneda 2 3 8 2" xfId="1958"/>
    <cellStyle name="Moneda 2 3 9" xfId="2096"/>
    <cellStyle name="Moneda 20" xfId="2497"/>
    <cellStyle name="Moneda 21" xfId="2636"/>
    <cellStyle name="Moneda 22" xfId="2770"/>
    <cellStyle name="Moneda 23" xfId="2905"/>
    <cellStyle name="Moneda 24" xfId="3041"/>
    <cellStyle name="Moneda 25" xfId="3177"/>
    <cellStyle name="Moneda 26" xfId="3312"/>
    <cellStyle name="Moneda 27" xfId="3455"/>
    <cellStyle name="Moneda 28" xfId="944"/>
    <cellStyle name="Moneda 3" xfId="16"/>
    <cellStyle name="Moneda 3 10" xfId="500"/>
    <cellStyle name="Moneda 3 10 2" xfId="1416"/>
    <cellStyle name="Moneda 3 11" xfId="633"/>
    <cellStyle name="Moneda 3 11 2" xfId="1549"/>
    <cellStyle name="Moneda 3 12" xfId="769"/>
    <cellStyle name="Moneda 3 12 2" xfId="1685"/>
    <cellStyle name="Moneda 3 13" xfId="909"/>
    <cellStyle name="Moneda 3 13 2" xfId="1825"/>
    <cellStyle name="Moneda 3 14" xfId="32"/>
    <cellStyle name="Moneda 3 14 2" xfId="1959"/>
    <cellStyle name="Moneda 3 15" xfId="2097"/>
    <cellStyle name="Moneda 3 16" xfId="2235"/>
    <cellStyle name="Moneda 3 17" xfId="2376"/>
    <cellStyle name="Moneda 3 18" xfId="2513"/>
    <cellStyle name="Moneda 3 19" xfId="2652"/>
    <cellStyle name="Moneda 3 2" xfId="42"/>
    <cellStyle name="Moneda 3 2 10" xfId="910"/>
    <cellStyle name="Moneda 3 2 10 2" xfId="1826"/>
    <cellStyle name="Moneda 3 2 11" xfId="1960"/>
    <cellStyle name="Moneda 3 2 12" xfId="2098"/>
    <cellStyle name="Moneda 3 2 13" xfId="2236"/>
    <cellStyle name="Moneda 3 2 14" xfId="2377"/>
    <cellStyle name="Moneda 3 2 15" xfId="2514"/>
    <cellStyle name="Moneda 3 2 16" xfId="2653"/>
    <cellStyle name="Moneda 3 2 17" xfId="2787"/>
    <cellStyle name="Moneda 3 2 18" xfId="2922"/>
    <cellStyle name="Moneda 3 2 19" xfId="3058"/>
    <cellStyle name="Moneda 3 2 2" xfId="99"/>
    <cellStyle name="Moneda 3 2 2 10" xfId="2237"/>
    <cellStyle name="Moneda 3 2 2 11" xfId="2378"/>
    <cellStyle name="Moneda 3 2 2 12" xfId="2515"/>
    <cellStyle name="Moneda 3 2 2 13" xfId="2654"/>
    <cellStyle name="Moneda 3 2 2 14" xfId="2788"/>
    <cellStyle name="Moneda 3 2 2 15" xfId="2923"/>
    <cellStyle name="Moneda 3 2 2 16" xfId="3059"/>
    <cellStyle name="Moneda 3 2 2 17" xfId="3195"/>
    <cellStyle name="Moneda 3 2 2 18" xfId="3330"/>
    <cellStyle name="Moneda 3 2 2 19" xfId="3473"/>
    <cellStyle name="Moneda 3 2 2 2" xfId="232"/>
    <cellStyle name="Moneda 3 2 2 2 2" xfId="1148"/>
    <cellStyle name="Moneda 3 2 2 20" xfId="1015"/>
    <cellStyle name="Moneda 3 2 2 3" xfId="367"/>
    <cellStyle name="Moneda 3 2 2 3 2" xfId="1283"/>
    <cellStyle name="Moneda 3 2 2 4" xfId="502"/>
    <cellStyle name="Moneda 3 2 2 4 2" xfId="1418"/>
    <cellStyle name="Moneda 3 2 2 5" xfId="635"/>
    <cellStyle name="Moneda 3 2 2 5 2" xfId="1551"/>
    <cellStyle name="Moneda 3 2 2 6" xfId="771"/>
    <cellStyle name="Moneda 3 2 2 6 2" xfId="1687"/>
    <cellStyle name="Moneda 3 2 2 7" xfId="911"/>
    <cellStyle name="Moneda 3 2 2 7 2" xfId="1827"/>
    <cellStyle name="Moneda 3 2 2 8" xfId="1961"/>
    <cellStyle name="Moneda 3 2 2 9" xfId="2099"/>
    <cellStyle name="Moneda 3 2 20" xfId="3194"/>
    <cellStyle name="Moneda 3 2 21" xfId="3329"/>
    <cellStyle name="Moneda 3 2 22" xfId="3472"/>
    <cellStyle name="Moneda 3 2 23" xfId="958"/>
    <cellStyle name="Moneda 3 2 3" xfId="73"/>
    <cellStyle name="Moneda 3 2 3 10" xfId="2238"/>
    <cellStyle name="Moneda 3 2 3 11" xfId="2379"/>
    <cellStyle name="Moneda 3 2 3 12" xfId="2516"/>
    <cellStyle name="Moneda 3 2 3 13" xfId="2655"/>
    <cellStyle name="Moneda 3 2 3 14" xfId="2789"/>
    <cellStyle name="Moneda 3 2 3 15" xfId="2924"/>
    <cellStyle name="Moneda 3 2 3 16" xfId="3060"/>
    <cellStyle name="Moneda 3 2 3 17" xfId="3196"/>
    <cellStyle name="Moneda 3 2 3 18" xfId="3331"/>
    <cellStyle name="Moneda 3 2 3 19" xfId="3474"/>
    <cellStyle name="Moneda 3 2 3 2" xfId="233"/>
    <cellStyle name="Moneda 3 2 3 2 2" xfId="1149"/>
    <cellStyle name="Moneda 3 2 3 20" xfId="989"/>
    <cellStyle name="Moneda 3 2 3 3" xfId="368"/>
    <cellStyle name="Moneda 3 2 3 3 2" xfId="1284"/>
    <cellStyle name="Moneda 3 2 3 4" xfId="503"/>
    <cellStyle name="Moneda 3 2 3 4 2" xfId="1419"/>
    <cellStyle name="Moneda 3 2 3 5" xfId="636"/>
    <cellStyle name="Moneda 3 2 3 5 2" xfId="1552"/>
    <cellStyle name="Moneda 3 2 3 6" xfId="772"/>
    <cellStyle name="Moneda 3 2 3 6 2" xfId="1688"/>
    <cellStyle name="Moneda 3 2 3 7" xfId="912"/>
    <cellStyle name="Moneda 3 2 3 7 2" xfId="1828"/>
    <cellStyle name="Moneda 3 2 3 8" xfId="1962"/>
    <cellStyle name="Moneda 3 2 3 9" xfId="2100"/>
    <cellStyle name="Moneda 3 2 4" xfId="234"/>
    <cellStyle name="Moneda 3 2 4 10" xfId="2380"/>
    <cellStyle name="Moneda 3 2 4 11" xfId="2517"/>
    <cellStyle name="Moneda 3 2 4 12" xfId="2656"/>
    <cellStyle name="Moneda 3 2 4 13" xfId="2790"/>
    <cellStyle name="Moneda 3 2 4 14" xfId="2925"/>
    <cellStyle name="Moneda 3 2 4 15" xfId="3061"/>
    <cellStyle name="Moneda 3 2 4 16" xfId="3197"/>
    <cellStyle name="Moneda 3 2 4 17" xfId="3332"/>
    <cellStyle name="Moneda 3 2 4 18" xfId="3475"/>
    <cellStyle name="Moneda 3 2 4 19" xfId="1150"/>
    <cellStyle name="Moneda 3 2 4 2" xfId="369"/>
    <cellStyle name="Moneda 3 2 4 2 2" xfId="1285"/>
    <cellStyle name="Moneda 3 2 4 3" xfId="504"/>
    <cellStyle name="Moneda 3 2 4 3 2" xfId="1420"/>
    <cellStyle name="Moneda 3 2 4 4" xfId="637"/>
    <cellStyle name="Moneda 3 2 4 4 2" xfId="1553"/>
    <cellStyle name="Moneda 3 2 4 5" xfId="773"/>
    <cellStyle name="Moneda 3 2 4 5 2" xfId="1689"/>
    <cellStyle name="Moneda 3 2 4 6" xfId="913"/>
    <cellStyle name="Moneda 3 2 4 6 2" xfId="1829"/>
    <cellStyle name="Moneda 3 2 4 7" xfId="1963"/>
    <cellStyle name="Moneda 3 2 4 8" xfId="2101"/>
    <cellStyle name="Moneda 3 2 4 9" xfId="2239"/>
    <cellStyle name="Moneda 3 2 5" xfId="231"/>
    <cellStyle name="Moneda 3 2 5 2" xfId="1147"/>
    <cellStyle name="Moneda 3 2 6" xfId="366"/>
    <cellStyle name="Moneda 3 2 6 2" xfId="1282"/>
    <cellStyle name="Moneda 3 2 7" xfId="501"/>
    <cellStyle name="Moneda 3 2 7 2" xfId="1417"/>
    <cellStyle name="Moneda 3 2 8" xfId="634"/>
    <cellStyle name="Moneda 3 2 8 2" xfId="1550"/>
    <cellStyle name="Moneda 3 2 9" xfId="770"/>
    <cellStyle name="Moneda 3 2 9 2" xfId="1686"/>
    <cellStyle name="Moneda 3 20" xfId="2786"/>
    <cellStyle name="Moneda 3 21" xfId="2921"/>
    <cellStyle name="Moneda 3 22" xfId="3057"/>
    <cellStyle name="Moneda 3 23" xfId="3193"/>
    <cellStyle name="Moneda 3 24" xfId="3328"/>
    <cellStyle name="Moneda 3 25" xfId="3471"/>
    <cellStyle name="Moneda 3 26" xfId="948"/>
    <cellStyle name="Moneda 3 3" xfId="52"/>
    <cellStyle name="Moneda 3 3 10" xfId="914"/>
    <cellStyle name="Moneda 3 3 10 2" xfId="1830"/>
    <cellStyle name="Moneda 3 3 11" xfId="1964"/>
    <cellStyle name="Moneda 3 3 12" xfId="2102"/>
    <cellStyle name="Moneda 3 3 13" xfId="2240"/>
    <cellStyle name="Moneda 3 3 14" xfId="2381"/>
    <cellStyle name="Moneda 3 3 15" xfId="2518"/>
    <cellStyle name="Moneda 3 3 16" xfId="2657"/>
    <cellStyle name="Moneda 3 3 17" xfId="2791"/>
    <cellStyle name="Moneda 3 3 18" xfId="2926"/>
    <cellStyle name="Moneda 3 3 19" xfId="3062"/>
    <cellStyle name="Moneda 3 3 2" xfId="109"/>
    <cellStyle name="Moneda 3 3 2 10" xfId="2241"/>
    <cellStyle name="Moneda 3 3 2 11" xfId="2382"/>
    <cellStyle name="Moneda 3 3 2 12" xfId="2519"/>
    <cellStyle name="Moneda 3 3 2 13" xfId="2658"/>
    <cellStyle name="Moneda 3 3 2 14" xfId="2792"/>
    <cellStyle name="Moneda 3 3 2 15" xfId="2927"/>
    <cellStyle name="Moneda 3 3 2 16" xfId="3063"/>
    <cellStyle name="Moneda 3 3 2 17" xfId="3199"/>
    <cellStyle name="Moneda 3 3 2 18" xfId="3334"/>
    <cellStyle name="Moneda 3 3 2 19" xfId="3477"/>
    <cellStyle name="Moneda 3 3 2 2" xfId="236"/>
    <cellStyle name="Moneda 3 3 2 2 2" xfId="1152"/>
    <cellStyle name="Moneda 3 3 2 20" xfId="1025"/>
    <cellStyle name="Moneda 3 3 2 3" xfId="371"/>
    <cellStyle name="Moneda 3 3 2 3 2" xfId="1287"/>
    <cellStyle name="Moneda 3 3 2 4" xfId="506"/>
    <cellStyle name="Moneda 3 3 2 4 2" xfId="1422"/>
    <cellStyle name="Moneda 3 3 2 5" xfId="639"/>
    <cellStyle name="Moneda 3 3 2 5 2" xfId="1555"/>
    <cellStyle name="Moneda 3 3 2 6" xfId="775"/>
    <cellStyle name="Moneda 3 3 2 6 2" xfId="1691"/>
    <cellStyle name="Moneda 3 3 2 7" xfId="915"/>
    <cellStyle name="Moneda 3 3 2 7 2" xfId="1831"/>
    <cellStyle name="Moneda 3 3 2 8" xfId="1965"/>
    <cellStyle name="Moneda 3 3 2 9" xfId="2103"/>
    <cellStyle name="Moneda 3 3 20" xfId="3198"/>
    <cellStyle name="Moneda 3 3 21" xfId="3333"/>
    <cellStyle name="Moneda 3 3 22" xfId="3476"/>
    <cellStyle name="Moneda 3 3 23" xfId="968"/>
    <cellStyle name="Moneda 3 3 3" xfId="83"/>
    <cellStyle name="Moneda 3 3 3 10" xfId="2242"/>
    <cellStyle name="Moneda 3 3 3 11" xfId="2383"/>
    <cellStyle name="Moneda 3 3 3 12" xfId="2520"/>
    <cellStyle name="Moneda 3 3 3 13" xfId="2659"/>
    <cellStyle name="Moneda 3 3 3 14" xfId="2793"/>
    <cellStyle name="Moneda 3 3 3 15" xfId="2928"/>
    <cellStyle name="Moneda 3 3 3 16" xfId="3064"/>
    <cellStyle name="Moneda 3 3 3 17" xfId="3200"/>
    <cellStyle name="Moneda 3 3 3 18" xfId="3335"/>
    <cellStyle name="Moneda 3 3 3 19" xfId="3478"/>
    <cellStyle name="Moneda 3 3 3 2" xfId="237"/>
    <cellStyle name="Moneda 3 3 3 2 2" xfId="1153"/>
    <cellStyle name="Moneda 3 3 3 20" xfId="999"/>
    <cellStyle name="Moneda 3 3 3 3" xfId="372"/>
    <cellStyle name="Moneda 3 3 3 3 2" xfId="1288"/>
    <cellStyle name="Moneda 3 3 3 4" xfId="507"/>
    <cellStyle name="Moneda 3 3 3 4 2" xfId="1423"/>
    <cellStyle name="Moneda 3 3 3 5" xfId="640"/>
    <cellStyle name="Moneda 3 3 3 5 2" xfId="1556"/>
    <cellStyle name="Moneda 3 3 3 6" xfId="776"/>
    <cellStyle name="Moneda 3 3 3 6 2" xfId="1692"/>
    <cellStyle name="Moneda 3 3 3 7" xfId="916"/>
    <cellStyle name="Moneda 3 3 3 7 2" xfId="1832"/>
    <cellStyle name="Moneda 3 3 3 8" xfId="1966"/>
    <cellStyle name="Moneda 3 3 3 9" xfId="2104"/>
    <cellStyle name="Moneda 3 3 4" xfId="238"/>
    <cellStyle name="Moneda 3 3 4 10" xfId="2384"/>
    <cellStyle name="Moneda 3 3 4 11" xfId="2521"/>
    <cellStyle name="Moneda 3 3 4 12" xfId="2660"/>
    <cellStyle name="Moneda 3 3 4 13" xfId="2794"/>
    <cellStyle name="Moneda 3 3 4 14" xfId="2929"/>
    <cellStyle name="Moneda 3 3 4 15" xfId="3065"/>
    <cellStyle name="Moneda 3 3 4 16" xfId="3201"/>
    <cellStyle name="Moneda 3 3 4 17" xfId="3336"/>
    <cellStyle name="Moneda 3 3 4 18" xfId="3479"/>
    <cellStyle name="Moneda 3 3 4 19" xfId="1154"/>
    <cellStyle name="Moneda 3 3 4 2" xfId="373"/>
    <cellStyle name="Moneda 3 3 4 2 2" xfId="1289"/>
    <cellStyle name="Moneda 3 3 4 3" xfId="508"/>
    <cellStyle name="Moneda 3 3 4 3 2" xfId="1424"/>
    <cellStyle name="Moneda 3 3 4 4" xfId="641"/>
    <cellStyle name="Moneda 3 3 4 4 2" xfId="1557"/>
    <cellStyle name="Moneda 3 3 4 5" xfId="777"/>
    <cellStyle name="Moneda 3 3 4 5 2" xfId="1693"/>
    <cellStyle name="Moneda 3 3 4 6" xfId="917"/>
    <cellStyle name="Moneda 3 3 4 6 2" xfId="1833"/>
    <cellStyle name="Moneda 3 3 4 7" xfId="1967"/>
    <cellStyle name="Moneda 3 3 4 8" xfId="2105"/>
    <cellStyle name="Moneda 3 3 4 9" xfId="2243"/>
    <cellStyle name="Moneda 3 3 5" xfId="235"/>
    <cellStyle name="Moneda 3 3 5 2" xfId="1151"/>
    <cellStyle name="Moneda 3 3 6" xfId="370"/>
    <cellStyle name="Moneda 3 3 6 2" xfId="1286"/>
    <cellStyle name="Moneda 3 3 7" xfId="505"/>
    <cellStyle name="Moneda 3 3 7 2" xfId="1421"/>
    <cellStyle name="Moneda 3 3 8" xfId="638"/>
    <cellStyle name="Moneda 3 3 8 2" xfId="1554"/>
    <cellStyle name="Moneda 3 3 9" xfId="774"/>
    <cellStyle name="Moneda 3 3 9 2" xfId="1690"/>
    <cellStyle name="Moneda 3 4" xfId="89"/>
    <cellStyle name="Moneda 3 4 10" xfId="2106"/>
    <cellStyle name="Moneda 3 4 11" xfId="2244"/>
    <cellStyle name="Moneda 3 4 12" xfId="2385"/>
    <cellStyle name="Moneda 3 4 13" xfId="2522"/>
    <cellStyle name="Moneda 3 4 14" xfId="2661"/>
    <cellStyle name="Moneda 3 4 15" xfId="2795"/>
    <cellStyle name="Moneda 3 4 16" xfId="2930"/>
    <cellStyle name="Moneda 3 4 17" xfId="3066"/>
    <cellStyle name="Moneda 3 4 18" xfId="3202"/>
    <cellStyle name="Moneda 3 4 19" xfId="3337"/>
    <cellStyle name="Moneda 3 4 2" xfId="240"/>
    <cellStyle name="Moneda 3 4 2 10" xfId="2386"/>
    <cellStyle name="Moneda 3 4 2 11" xfId="2523"/>
    <cellStyle name="Moneda 3 4 2 12" xfId="2662"/>
    <cellStyle name="Moneda 3 4 2 13" xfId="2796"/>
    <cellStyle name="Moneda 3 4 2 14" xfId="2931"/>
    <cellStyle name="Moneda 3 4 2 15" xfId="3067"/>
    <cellStyle name="Moneda 3 4 2 16" xfId="3203"/>
    <cellStyle name="Moneda 3 4 2 17" xfId="3338"/>
    <cellStyle name="Moneda 3 4 2 18" xfId="3481"/>
    <cellStyle name="Moneda 3 4 2 19" xfId="1156"/>
    <cellStyle name="Moneda 3 4 2 2" xfId="375"/>
    <cellStyle name="Moneda 3 4 2 2 2" xfId="1291"/>
    <cellStyle name="Moneda 3 4 2 3" xfId="510"/>
    <cellStyle name="Moneda 3 4 2 3 2" xfId="1426"/>
    <cellStyle name="Moneda 3 4 2 4" xfId="643"/>
    <cellStyle name="Moneda 3 4 2 4 2" xfId="1559"/>
    <cellStyle name="Moneda 3 4 2 5" xfId="779"/>
    <cellStyle name="Moneda 3 4 2 5 2" xfId="1695"/>
    <cellStyle name="Moneda 3 4 2 6" xfId="919"/>
    <cellStyle name="Moneda 3 4 2 6 2" xfId="1835"/>
    <cellStyle name="Moneda 3 4 2 7" xfId="1969"/>
    <cellStyle name="Moneda 3 4 2 8" xfId="2107"/>
    <cellStyle name="Moneda 3 4 2 9" xfId="2245"/>
    <cellStyle name="Moneda 3 4 20" xfId="3480"/>
    <cellStyle name="Moneda 3 4 21" xfId="1005"/>
    <cellStyle name="Moneda 3 4 3" xfId="239"/>
    <cellStyle name="Moneda 3 4 3 2" xfId="1155"/>
    <cellStyle name="Moneda 3 4 4" xfId="374"/>
    <cellStyle name="Moneda 3 4 4 2" xfId="1290"/>
    <cellStyle name="Moneda 3 4 5" xfId="509"/>
    <cellStyle name="Moneda 3 4 5 2" xfId="1425"/>
    <cellStyle name="Moneda 3 4 6" xfId="642"/>
    <cellStyle name="Moneda 3 4 6 2" xfId="1558"/>
    <cellStyle name="Moneda 3 4 7" xfId="778"/>
    <cellStyle name="Moneda 3 4 7 2" xfId="1694"/>
    <cellStyle name="Moneda 3 4 8" xfId="918"/>
    <cellStyle name="Moneda 3 4 8 2" xfId="1834"/>
    <cellStyle name="Moneda 3 4 9" xfId="1968"/>
    <cellStyle name="Moneda 3 5" xfId="63"/>
    <cellStyle name="Moneda 3 5 10" xfId="2246"/>
    <cellStyle name="Moneda 3 5 11" xfId="2387"/>
    <cellStyle name="Moneda 3 5 12" xfId="2524"/>
    <cellStyle name="Moneda 3 5 13" xfId="2663"/>
    <cellStyle name="Moneda 3 5 14" xfId="2797"/>
    <cellStyle name="Moneda 3 5 15" xfId="2932"/>
    <cellStyle name="Moneda 3 5 16" xfId="3068"/>
    <cellStyle name="Moneda 3 5 17" xfId="3204"/>
    <cellStyle name="Moneda 3 5 18" xfId="3339"/>
    <cellStyle name="Moneda 3 5 19" xfId="3482"/>
    <cellStyle name="Moneda 3 5 2" xfId="241"/>
    <cellStyle name="Moneda 3 5 2 2" xfId="1157"/>
    <cellStyle name="Moneda 3 5 20" xfId="979"/>
    <cellStyle name="Moneda 3 5 3" xfId="376"/>
    <cellStyle name="Moneda 3 5 3 2" xfId="1292"/>
    <cellStyle name="Moneda 3 5 4" xfId="511"/>
    <cellStyle name="Moneda 3 5 4 2" xfId="1427"/>
    <cellStyle name="Moneda 3 5 5" xfId="644"/>
    <cellStyle name="Moneda 3 5 5 2" xfId="1560"/>
    <cellStyle name="Moneda 3 5 6" xfId="780"/>
    <cellStyle name="Moneda 3 5 6 2" xfId="1696"/>
    <cellStyle name="Moneda 3 5 7" xfId="920"/>
    <cellStyle name="Moneda 3 5 7 2" xfId="1836"/>
    <cellStyle name="Moneda 3 5 8" xfId="1970"/>
    <cellStyle name="Moneda 3 5 9" xfId="2108"/>
    <cellStyle name="Moneda 3 6" xfId="119"/>
    <cellStyle name="Moneda 3 6 10" xfId="2247"/>
    <cellStyle name="Moneda 3 6 11" xfId="2388"/>
    <cellStyle name="Moneda 3 6 12" xfId="2525"/>
    <cellStyle name="Moneda 3 6 13" xfId="2664"/>
    <cellStyle name="Moneda 3 6 14" xfId="2798"/>
    <cellStyle name="Moneda 3 6 15" xfId="2933"/>
    <cellStyle name="Moneda 3 6 16" xfId="3069"/>
    <cellStyle name="Moneda 3 6 17" xfId="3205"/>
    <cellStyle name="Moneda 3 6 18" xfId="3340"/>
    <cellStyle name="Moneda 3 6 19" xfId="3483"/>
    <cellStyle name="Moneda 3 6 2" xfId="242"/>
    <cellStyle name="Moneda 3 6 2 2" xfId="1158"/>
    <cellStyle name="Moneda 3 6 20" xfId="1035"/>
    <cellStyle name="Moneda 3 6 3" xfId="377"/>
    <cellStyle name="Moneda 3 6 3 2" xfId="1293"/>
    <cellStyle name="Moneda 3 6 4" xfId="512"/>
    <cellStyle name="Moneda 3 6 4 2" xfId="1428"/>
    <cellStyle name="Moneda 3 6 5" xfId="645"/>
    <cellStyle name="Moneda 3 6 5 2" xfId="1561"/>
    <cellStyle name="Moneda 3 6 6" xfId="781"/>
    <cellStyle name="Moneda 3 6 6 2" xfId="1697"/>
    <cellStyle name="Moneda 3 6 7" xfId="921"/>
    <cellStyle name="Moneda 3 6 7 2" xfId="1837"/>
    <cellStyle name="Moneda 3 6 8" xfId="1971"/>
    <cellStyle name="Moneda 3 6 9" xfId="2109"/>
    <cellStyle name="Moneda 3 7" xfId="243"/>
    <cellStyle name="Moneda 3 7 10" xfId="2389"/>
    <cellStyle name="Moneda 3 7 11" xfId="2526"/>
    <cellStyle name="Moneda 3 7 12" xfId="2665"/>
    <cellStyle name="Moneda 3 7 13" xfId="2799"/>
    <cellStyle name="Moneda 3 7 14" xfId="2934"/>
    <cellStyle name="Moneda 3 7 15" xfId="3070"/>
    <cellStyle name="Moneda 3 7 16" xfId="3206"/>
    <cellStyle name="Moneda 3 7 17" xfId="3341"/>
    <cellStyle name="Moneda 3 7 18" xfId="3484"/>
    <cellStyle name="Moneda 3 7 19" xfId="1159"/>
    <cellStyle name="Moneda 3 7 2" xfId="378"/>
    <cellStyle name="Moneda 3 7 2 2" xfId="1294"/>
    <cellStyle name="Moneda 3 7 3" xfId="513"/>
    <cellStyle name="Moneda 3 7 3 2" xfId="1429"/>
    <cellStyle name="Moneda 3 7 4" xfId="646"/>
    <cellStyle name="Moneda 3 7 4 2" xfId="1562"/>
    <cellStyle name="Moneda 3 7 5" xfId="782"/>
    <cellStyle name="Moneda 3 7 5 2" xfId="1698"/>
    <cellStyle name="Moneda 3 7 6" xfId="922"/>
    <cellStyle name="Moneda 3 7 6 2" xfId="1838"/>
    <cellStyle name="Moneda 3 7 7" xfId="1972"/>
    <cellStyle name="Moneda 3 7 8" xfId="2110"/>
    <cellStyle name="Moneda 3 7 9" xfId="2248"/>
    <cellStyle name="Moneda 3 8" xfId="230"/>
    <cellStyle name="Moneda 3 8 2" xfId="1146"/>
    <cellStyle name="Moneda 3 9" xfId="365"/>
    <cellStyle name="Moneda 3 9 2" xfId="1281"/>
    <cellStyle name="Moneda 4" xfId="11"/>
    <cellStyle name="Moneda 4 10" xfId="923"/>
    <cellStyle name="Moneda 4 10 2" xfId="1839"/>
    <cellStyle name="Moneda 4 11" xfId="40"/>
    <cellStyle name="Moneda 4 11 2" xfId="1973"/>
    <cellStyle name="Moneda 4 12" xfId="2111"/>
    <cellStyle name="Moneda 4 13" xfId="2249"/>
    <cellStyle name="Moneda 4 14" xfId="2390"/>
    <cellStyle name="Moneda 4 15" xfId="2527"/>
    <cellStyle name="Moneda 4 16" xfId="2666"/>
    <cellStyle name="Moneda 4 17" xfId="2800"/>
    <cellStyle name="Moneda 4 18" xfId="2935"/>
    <cellStyle name="Moneda 4 19" xfId="3071"/>
    <cellStyle name="Moneda 4 2" xfId="97"/>
    <cellStyle name="Moneda 4 2 10" xfId="2250"/>
    <cellStyle name="Moneda 4 2 11" xfId="2391"/>
    <cellStyle name="Moneda 4 2 12" xfId="2528"/>
    <cellStyle name="Moneda 4 2 13" xfId="2667"/>
    <cellStyle name="Moneda 4 2 14" xfId="2801"/>
    <cellStyle name="Moneda 4 2 15" xfId="2936"/>
    <cellStyle name="Moneda 4 2 16" xfId="3072"/>
    <cellStyle name="Moneda 4 2 17" xfId="3208"/>
    <cellStyle name="Moneda 4 2 18" xfId="3343"/>
    <cellStyle name="Moneda 4 2 19" xfId="3486"/>
    <cellStyle name="Moneda 4 2 2" xfId="245"/>
    <cellStyle name="Moneda 4 2 2 2" xfId="1161"/>
    <cellStyle name="Moneda 4 2 20" xfId="1013"/>
    <cellStyle name="Moneda 4 2 3" xfId="380"/>
    <cellStyle name="Moneda 4 2 3 2" xfId="1296"/>
    <cellStyle name="Moneda 4 2 4" xfId="515"/>
    <cellStyle name="Moneda 4 2 4 2" xfId="1431"/>
    <cellStyle name="Moneda 4 2 5" xfId="648"/>
    <cellStyle name="Moneda 4 2 5 2" xfId="1564"/>
    <cellStyle name="Moneda 4 2 6" xfId="784"/>
    <cellStyle name="Moneda 4 2 6 2" xfId="1700"/>
    <cellStyle name="Moneda 4 2 7" xfId="924"/>
    <cellStyle name="Moneda 4 2 7 2" xfId="1840"/>
    <cellStyle name="Moneda 4 2 8" xfId="1974"/>
    <cellStyle name="Moneda 4 2 9" xfId="2112"/>
    <cellStyle name="Moneda 4 20" xfId="3207"/>
    <cellStyle name="Moneda 4 21" xfId="3342"/>
    <cellStyle name="Moneda 4 22" xfId="3485"/>
    <cellStyle name="Moneda 4 23" xfId="956"/>
    <cellStyle name="Moneda 4 3" xfId="71"/>
    <cellStyle name="Moneda 4 3 10" xfId="2251"/>
    <cellStyle name="Moneda 4 3 11" xfId="2392"/>
    <cellStyle name="Moneda 4 3 12" xfId="2529"/>
    <cellStyle name="Moneda 4 3 13" xfId="2668"/>
    <cellStyle name="Moneda 4 3 14" xfId="2802"/>
    <cellStyle name="Moneda 4 3 15" xfId="2937"/>
    <cellStyle name="Moneda 4 3 16" xfId="3073"/>
    <cellStyle name="Moneda 4 3 17" xfId="3209"/>
    <cellStyle name="Moneda 4 3 18" xfId="3344"/>
    <cellStyle name="Moneda 4 3 19" xfId="3487"/>
    <cellStyle name="Moneda 4 3 2" xfId="246"/>
    <cellStyle name="Moneda 4 3 2 2" xfId="1162"/>
    <cellStyle name="Moneda 4 3 20" xfId="987"/>
    <cellStyle name="Moneda 4 3 3" xfId="381"/>
    <cellStyle name="Moneda 4 3 3 2" xfId="1297"/>
    <cellStyle name="Moneda 4 3 4" xfId="516"/>
    <cellStyle name="Moneda 4 3 4 2" xfId="1432"/>
    <cellStyle name="Moneda 4 3 5" xfId="649"/>
    <cellStyle name="Moneda 4 3 5 2" xfId="1565"/>
    <cellStyle name="Moneda 4 3 6" xfId="785"/>
    <cellStyle name="Moneda 4 3 6 2" xfId="1701"/>
    <cellStyle name="Moneda 4 3 7" xfId="925"/>
    <cellStyle name="Moneda 4 3 7 2" xfId="1841"/>
    <cellStyle name="Moneda 4 3 8" xfId="1975"/>
    <cellStyle name="Moneda 4 3 9" xfId="2113"/>
    <cellStyle name="Moneda 4 4" xfId="247"/>
    <cellStyle name="Moneda 4 4 10" xfId="2393"/>
    <cellStyle name="Moneda 4 4 11" xfId="2530"/>
    <cellStyle name="Moneda 4 4 12" xfId="2669"/>
    <cellStyle name="Moneda 4 4 13" xfId="2803"/>
    <cellStyle name="Moneda 4 4 14" xfId="2938"/>
    <cellStyle name="Moneda 4 4 15" xfId="3074"/>
    <cellStyle name="Moneda 4 4 16" xfId="3210"/>
    <cellStyle name="Moneda 4 4 17" xfId="3345"/>
    <cellStyle name="Moneda 4 4 18" xfId="3488"/>
    <cellStyle name="Moneda 4 4 19" xfId="1163"/>
    <cellStyle name="Moneda 4 4 2" xfId="382"/>
    <cellStyle name="Moneda 4 4 2 2" xfId="1298"/>
    <cellStyle name="Moneda 4 4 3" xfId="517"/>
    <cellStyle name="Moneda 4 4 3 2" xfId="1433"/>
    <cellStyle name="Moneda 4 4 4" xfId="650"/>
    <cellStyle name="Moneda 4 4 4 2" xfId="1566"/>
    <cellStyle name="Moneda 4 4 5" xfId="786"/>
    <cellStyle name="Moneda 4 4 5 2" xfId="1702"/>
    <cellStyle name="Moneda 4 4 6" xfId="926"/>
    <cellStyle name="Moneda 4 4 6 2" xfId="1842"/>
    <cellStyle name="Moneda 4 4 7" xfId="1976"/>
    <cellStyle name="Moneda 4 4 8" xfId="2114"/>
    <cellStyle name="Moneda 4 4 9" xfId="2252"/>
    <cellStyle name="Moneda 4 5" xfId="244"/>
    <cellStyle name="Moneda 4 5 2" xfId="1160"/>
    <cellStyle name="Moneda 4 6" xfId="379"/>
    <cellStyle name="Moneda 4 6 2" xfId="1295"/>
    <cellStyle name="Moneda 4 7" xfId="514"/>
    <cellStyle name="Moneda 4 7 2" xfId="1430"/>
    <cellStyle name="Moneda 4 8" xfId="647"/>
    <cellStyle name="Moneda 4 8 2" xfId="1563"/>
    <cellStyle name="Moneda 4 9" xfId="783"/>
    <cellStyle name="Moneda 4 9 2" xfId="1699"/>
    <cellStyle name="Moneda 5" xfId="50"/>
    <cellStyle name="Moneda 5 10" xfId="927"/>
    <cellStyle name="Moneda 5 10 2" xfId="1843"/>
    <cellStyle name="Moneda 5 11" xfId="1977"/>
    <cellStyle name="Moneda 5 12" xfId="2115"/>
    <cellStyle name="Moneda 5 13" xfId="2253"/>
    <cellStyle name="Moneda 5 14" xfId="2394"/>
    <cellStyle name="Moneda 5 15" xfId="2531"/>
    <cellStyle name="Moneda 5 16" xfId="2670"/>
    <cellStyle name="Moneda 5 17" xfId="2804"/>
    <cellStyle name="Moneda 5 18" xfId="2939"/>
    <cellStyle name="Moneda 5 19" xfId="3075"/>
    <cellStyle name="Moneda 5 2" xfId="107"/>
    <cellStyle name="Moneda 5 2 10" xfId="2254"/>
    <cellStyle name="Moneda 5 2 11" xfId="2395"/>
    <cellStyle name="Moneda 5 2 12" xfId="2532"/>
    <cellStyle name="Moneda 5 2 13" xfId="2671"/>
    <cellStyle name="Moneda 5 2 14" xfId="2805"/>
    <cellStyle name="Moneda 5 2 15" xfId="2940"/>
    <cellStyle name="Moneda 5 2 16" xfId="3076"/>
    <cellStyle name="Moneda 5 2 17" xfId="3212"/>
    <cellStyle name="Moneda 5 2 18" xfId="3347"/>
    <cellStyle name="Moneda 5 2 19" xfId="3490"/>
    <cellStyle name="Moneda 5 2 2" xfId="249"/>
    <cellStyle name="Moneda 5 2 2 2" xfId="1165"/>
    <cellStyle name="Moneda 5 2 20" xfId="1023"/>
    <cellStyle name="Moneda 5 2 3" xfId="384"/>
    <cellStyle name="Moneda 5 2 3 2" xfId="1300"/>
    <cellStyle name="Moneda 5 2 4" xfId="519"/>
    <cellStyle name="Moneda 5 2 4 2" xfId="1435"/>
    <cellStyle name="Moneda 5 2 5" xfId="652"/>
    <cellStyle name="Moneda 5 2 5 2" xfId="1568"/>
    <cellStyle name="Moneda 5 2 6" xfId="788"/>
    <cellStyle name="Moneda 5 2 6 2" xfId="1704"/>
    <cellStyle name="Moneda 5 2 7" xfId="928"/>
    <cellStyle name="Moneda 5 2 7 2" xfId="1844"/>
    <cellStyle name="Moneda 5 2 8" xfId="1978"/>
    <cellStyle name="Moneda 5 2 9" xfId="2116"/>
    <cellStyle name="Moneda 5 20" xfId="3211"/>
    <cellStyle name="Moneda 5 21" xfId="3346"/>
    <cellStyle name="Moneda 5 22" xfId="3489"/>
    <cellStyle name="Moneda 5 23" xfId="966"/>
    <cellStyle name="Moneda 5 3" xfId="81"/>
    <cellStyle name="Moneda 5 3 10" xfId="2255"/>
    <cellStyle name="Moneda 5 3 11" xfId="2396"/>
    <cellStyle name="Moneda 5 3 12" xfId="2533"/>
    <cellStyle name="Moneda 5 3 13" xfId="2672"/>
    <cellStyle name="Moneda 5 3 14" xfId="2806"/>
    <cellStyle name="Moneda 5 3 15" xfId="2941"/>
    <cellStyle name="Moneda 5 3 16" xfId="3077"/>
    <cellStyle name="Moneda 5 3 17" xfId="3213"/>
    <cellStyle name="Moneda 5 3 18" xfId="3348"/>
    <cellStyle name="Moneda 5 3 19" xfId="3491"/>
    <cellStyle name="Moneda 5 3 2" xfId="250"/>
    <cellStyle name="Moneda 5 3 2 2" xfId="1166"/>
    <cellStyle name="Moneda 5 3 20" xfId="997"/>
    <cellStyle name="Moneda 5 3 3" xfId="385"/>
    <cellStyle name="Moneda 5 3 3 2" xfId="1301"/>
    <cellStyle name="Moneda 5 3 4" xfId="520"/>
    <cellStyle name="Moneda 5 3 4 2" xfId="1436"/>
    <cellStyle name="Moneda 5 3 5" xfId="653"/>
    <cellStyle name="Moneda 5 3 5 2" xfId="1569"/>
    <cellStyle name="Moneda 5 3 6" xfId="789"/>
    <cellStyle name="Moneda 5 3 6 2" xfId="1705"/>
    <cellStyle name="Moneda 5 3 7" xfId="929"/>
    <cellStyle name="Moneda 5 3 7 2" xfId="1845"/>
    <cellStyle name="Moneda 5 3 8" xfId="1979"/>
    <cellStyle name="Moneda 5 3 9" xfId="2117"/>
    <cellStyle name="Moneda 5 4" xfId="251"/>
    <cellStyle name="Moneda 5 4 10" xfId="2397"/>
    <cellStyle name="Moneda 5 4 11" xfId="2534"/>
    <cellStyle name="Moneda 5 4 12" xfId="2673"/>
    <cellStyle name="Moneda 5 4 13" xfId="2807"/>
    <cellStyle name="Moneda 5 4 14" xfId="2942"/>
    <cellStyle name="Moneda 5 4 15" xfId="3078"/>
    <cellStyle name="Moneda 5 4 16" xfId="3214"/>
    <cellStyle name="Moneda 5 4 17" xfId="3349"/>
    <cellStyle name="Moneda 5 4 18" xfId="3492"/>
    <cellStyle name="Moneda 5 4 19" xfId="1167"/>
    <cellStyle name="Moneda 5 4 2" xfId="386"/>
    <cellStyle name="Moneda 5 4 2 2" xfId="1302"/>
    <cellStyle name="Moneda 5 4 3" xfId="521"/>
    <cellStyle name="Moneda 5 4 3 2" xfId="1437"/>
    <cellStyle name="Moneda 5 4 4" xfId="654"/>
    <cellStyle name="Moneda 5 4 4 2" xfId="1570"/>
    <cellStyle name="Moneda 5 4 5" xfId="790"/>
    <cellStyle name="Moneda 5 4 5 2" xfId="1706"/>
    <cellStyle name="Moneda 5 4 6" xfId="930"/>
    <cellStyle name="Moneda 5 4 6 2" xfId="1846"/>
    <cellStyle name="Moneda 5 4 7" xfId="1980"/>
    <cellStyle name="Moneda 5 4 8" xfId="2118"/>
    <cellStyle name="Moneda 5 4 9" xfId="2256"/>
    <cellStyle name="Moneda 5 5" xfId="248"/>
    <cellStyle name="Moneda 5 5 2" xfId="1164"/>
    <cellStyle name="Moneda 5 6" xfId="383"/>
    <cellStyle name="Moneda 5 6 2" xfId="1299"/>
    <cellStyle name="Moneda 5 7" xfId="518"/>
    <cellStyle name="Moneda 5 7 2" xfId="1434"/>
    <cellStyle name="Moneda 5 8" xfId="651"/>
    <cellStyle name="Moneda 5 8 2" xfId="1567"/>
    <cellStyle name="Moneda 5 9" xfId="787"/>
    <cellStyle name="Moneda 5 9 2" xfId="1703"/>
    <cellStyle name="Moneda 6" xfId="59"/>
    <cellStyle name="Moneda 6 10" xfId="2119"/>
    <cellStyle name="Moneda 6 11" xfId="2257"/>
    <cellStyle name="Moneda 6 12" xfId="2398"/>
    <cellStyle name="Moneda 6 13" xfId="2535"/>
    <cellStyle name="Moneda 6 14" xfId="2674"/>
    <cellStyle name="Moneda 6 15" xfId="2808"/>
    <cellStyle name="Moneda 6 16" xfId="2943"/>
    <cellStyle name="Moneda 6 17" xfId="3079"/>
    <cellStyle name="Moneda 6 18" xfId="3215"/>
    <cellStyle name="Moneda 6 19" xfId="3350"/>
    <cellStyle name="Moneda 6 2" xfId="253"/>
    <cellStyle name="Moneda 6 2 10" xfId="2399"/>
    <cellStyle name="Moneda 6 2 11" xfId="2536"/>
    <cellStyle name="Moneda 6 2 12" xfId="2675"/>
    <cellStyle name="Moneda 6 2 13" xfId="2809"/>
    <cellStyle name="Moneda 6 2 14" xfId="2944"/>
    <cellStyle name="Moneda 6 2 15" xfId="3080"/>
    <cellStyle name="Moneda 6 2 16" xfId="3216"/>
    <cellStyle name="Moneda 6 2 17" xfId="3351"/>
    <cellStyle name="Moneda 6 2 18" xfId="3494"/>
    <cellStyle name="Moneda 6 2 19" xfId="1169"/>
    <cellStyle name="Moneda 6 2 2" xfId="388"/>
    <cellStyle name="Moneda 6 2 2 2" xfId="1304"/>
    <cellStyle name="Moneda 6 2 3" xfId="523"/>
    <cellStyle name="Moneda 6 2 3 2" xfId="1439"/>
    <cellStyle name="Moneda 6 2 4" xfId="656"/>
    <cellStyle name="Moneda 6 2 4 2" xfId="1572"/>
    <cellStyle name="Moneda 6 2 5" xfId="792"/>
    <cellStyle name="Moneda 6 2 5 2" xfId="1708"/>
    <cellStyle name="Moneda 6 2 6" xfId="932"/>
    <cellStyle name="Moneda 6 2 6 2" xfId="1848"/>
    <cellStyle name="Moneda 6 2 7" xfId="1982"/>
    <cellStyle name="Moneda 6 2 8" xfId="2120"/>
    <cellStyle name="Moneda 6 2 9" xfId="2258"/>
    <cellStyle name="Moneda 6 20" xfId="3493"/>
    <cellStyle name="Moneda 6 21" xfId="975"/>
    <cellStyle name="Moneda 6 3" xfId="252"/>
    <cellStyle name="Moneda 6 3 2" xfId="1168"/>
    <cellStyle name="Moneda 6 4" xfId="387"/>
    <cellStyle name="Moneda 6 4 2" xfId="1303"/>
    <cellStyle name="Moneda 6 5" xfId="522"/>
    <cellStyle name="Moneda 6 5 2" xfId="1438"/>
    <cellStyle name="Moneda 6 6" xfId="655"/>
    <cellStyle name="Moneda 6 6 2" xfId="1571"/>
    <cellStyle name="Moneda 6 7" xfId="791"/>
    <cellStyle name="Moneda 6 7 2" xfId="1707"/>
    <cellStyle name="Moneda 6 8" xfId="931"/>
    <cellStyle name="Moneda 6 8 2" xfId="1847"/>
    <cellStyle name="Moneda 6 9" xfId="1981"/>
    <cellStyle name="Moneda 7" xfId="85"/>
    <cellStyle name="Moneda 7 10" xfId="2259"/>
    <cellStyle name="Moneda 7 11" xfId="2400"/>
    <cellStyle name="Moneda 7 12" xfId="2537"/>
    <cellStyle name="Moneda 7 13" xfId="2676"/>
    <cellStyle name="Moneda 7 14" xfId="2810"/>
    <cellStyle name="Moneda 7 15" xfId="2945"/>
    <cellStyle name="Moneda 7 16" xfId="3081"/>
    <cellStyle name="Moneda 7 17" xfId="3217"/>
    <cellStyle name="Moneda 7 18" xfId="3352"/>
    <cellStyle name="Moneda 7 19" xfId="3495"/>
    <cellStyle name="Moneda 7 2" xfId="254"/>
    <cellStyle name="Moneda 7 2 2" xfId="1170"/>
    <cellStyle name="Moneda 7 20" xfId="1001"/>
    <cellStyle name="Moneda 7 3" xfId="389"/>
    <cellStyle name="Moneda 7 3 2" xfId="1305"/>
    <cellStyle name="Moneda 7 4" xfId="524"/>
    <cellStyle name="Moneda 7 4 2" xfId="1440"/>
    <cellStyle name="Moneda 7 5" xfId="657"/>
    <cellStyle name="Moneda 7 5 2" xfId="1573"/>
    <cellStyle name="Moneda 7 6" xfId="793"/>
    <cellStyle name="Moneda 7 6 2" xfId="1709"/>
    <cellStyle name="Moneda 7 7" xfId="933"/>
    <cellStyle name="Moneda 7 7 2" xfId="1849"/>
    <cellStyle name="Moneda 7 8" xfId="1983"/>
    <cellStyle name="Moneda 7 9" xfId="2121"/>
    <cellStyle name="Moneda 8" xfId="115"/>
    <cellStyle name="Moneda 8 10" xfId="2260"/>
    <cellStyle name="Moneda 8 11" xfId="2401"/>
    <cellStyle name="Moneda 8 12" xfId="2538"/>
    <cellStyle name="Moneda 8 13" xfId="2677"/>
    <cellStyle name="Moneda 8 14" xfId="2811"/>
    <cellStyle name="Moneda 8 15" xfId="2946"/>
    <cellStyle name="Moneda 8 16" xfId="3082"/>
    <cellStyle name="Moneda 8 17" xfId="3218"/>
    <cellStyle name="Moneda 8 18" xfId="3353"/>
    <cellStyle name="Moneda 8 19" xfId="3496"/>
    <cellStyle name="Moneda 8 2" xfId="255"/>
    <cellStyle name="Moneda 8 2 2" xfId="1171"/>
    <cellStyle name="Moneda 8 20" xfId="1031"/>
    <cellStyle name="Moneda 8 3" xfId="390"/>
    <cellStyle name="Moneda 8 3 2" xfId="1306"/>
    <cellStyle name="Moneda 8 4" xfId="525"/>
    <cellStyle name="Moneda 8 4 2" xfId="1441"/>
    <cellStyle name="Moneda 8 5" xfId="658"/>
    <cellStyle name="Moneda 8 5 2" xfId="1574"/>
    <cellStyle name="Moneda 8 6" xfId="794"/>
    <cellStyle name="Moneda 8 6 2" xfId="1710"/>
    <cellStyle name="Moneda 8 7" xfId="934"/>
    <cellStyle name="Moneda 8 7 2" xfId="1850"/>
    <cellStyle name="Moneda 8 8" xfId="1984"/>
    <cellStyle name="Moneda 8 9" xfId="2122"/>
    <cellStyle name="Moneda 9" xfId="256"/>
    <cellStyle name="Moneda 9 10" xfId="2402"/>
    <cellStyle name="Moneda 9 11" xfId="2539"/>
    <cellStyle name="Moneda 9 12" xfId="2678"/>
    <cellStyle name="Moneda 9 13" xfId="2812"/>
    <cellStyle name="Moneda 9 14" xfId="2947"/>
    <cellStyle name="Moneda 9 15" xfId="3083"/>
    <cellStyle name="Moneda 9 16" xfId="3219"/>
    <cellStyle name="Moneda 9 17" xfId="3354"/>
    <cellStyle name="Moneda 9 18" xfId="3497"/>
    <cellStyle name="Moneda 9 19" xfId="1172"/>
    <cellStyle name="Moneda 9 2" xfId="391"/>
    <cellStyle name="Moneda 9 2 2" xfId="1307"/>
    <cellStyle name="Moneda 9 3" xfId="526"/>
    <cellStyle name="Moneda 9 3 2" xfId="1442"/>
    <cellStyle name="Moneda 9 4" xfId="659"/>
    <cellStyle name="Moneda 9 4 2" xfId="1575"/>
    <cellStyle name="Moneda 9 5" xfId="795"/>
    <cellStyle name="Moneda 9 5 2" xfId="1711"/>
    <cellStyle name="Moneda 9 6" xfId="935"/>
    <cellStyle name="Moneda 9 6 2" xfId="1851"/>
    <cellStyle name="Moneda 9 7" xfId="1985"/>
    <cellStyle name="Moneda 9 8" xfId="2123"/>
    <cellStyle name="Moneda 9 9" xfId="2261"/>
    <cellStyle name="Normal" xfId="0" builtinId="0"/>
    <cellStyle name="Normal 2 77" xfId="9"/>
  </cellStyles>
  <dxfs count="0"/>
  <tableStyles count="0" defaultTableStyle="TableStyleMedium2" defaultPivotStyle="PivotStyleLight16"/>
  <colors>
    <mruColors>
      <color rgb="FFFF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5"/>
  <sheetViews>
    <sheetView tabSelected="1" zoomScale="70" zoomScaleNormal="70" workbookViewId="0">
      <pane ySplit="10" topLeftCell="A11" activePane="bottomLeft" state="frozen"/>
      <selection activeCell="A196" sqref="A196"/>
      <selection pane="bottomLeft" activeCell="A7" sqref="A7:K7"/>
    </sheetView>
  </sheetViews>
  <sheetFormatPr baseColWidth="10" defaultRowHeight="23.25" customHeight="1" x14ac:dyDescent="0.25"/>
  <cols>
    <col min="1" max="1" width="10.5703125" style="25" customWidth="1"/>
    <col min="2" max="2" width="24.2851562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7" hidden="1" customWidth="1"/>
    <col min="9" max="9" width="35.85546875" style="23" customWidth="1"/>
    <col min="10" max="10" width="27.140625" style="17" customWidth="1"/>
    <col min="11" max="11" width="21.140625" customWidth="1"/>
    <col min="12" max="12" width="15" hidden="1" customWidth="1"/>
    <col min="13" max="13" width="42.7109375" style="10" customWidth="1"/>
    <col min="14" max="14" width="43.28515625" style="10" customWidth="1"/>
    <col min="15" max="15" width="32" style="10" customWidth="1"/>
    <col min="16" max="16" width="40.5703125" style="10" customWidth="1"/>
    <col min="17" max="17" width="34.42578125" style="10" customWidth="1"/>
    <col min="18" max="18" width="34" style="10" customWidth="1"/>
    <col min="19" max="19" width="44.28515625" style="10" customWidth="1"/>
    <col min="20" max="20" width="33.5703125" style="10" customWidth="1"/>
    <col min="21" max="109" width="11.42578125" style="10"/>
  </cols>
  <sheetData>
    <row r="1" spans="1:109" ht="23.25" customHeight="1" x14ac:dyDescent="0.25">
      <c r="A1" s="382" t="s">
        <v>11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18" t="s">
        <v>14</v>
      </c>
    </row>
    <row r="2" spans="1:109" ht="23.25" customHeight="1" x14ac:dyDescent="0.25">
      <c r="A2" s="382" t="s">
        <v>12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26"/>
    </row>
    <row r="3" spans="1:109" ht="23.25" customHeight="1" x14ac:dyDescent="0.25">
      <c r="A3" s="382" t="s">
        <v>13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26"/>
    </row>
    <row r="4" spans="1:109" ht="23.25" customHeight="1" x14ac:dyDescent="0.25">
      <c r="A4" s="11"/>
      <c r="B4" s="12"/>
      <c r="C4" s="13"/>
      <c r="D4" s="14"/>
      <c r="E4" s="15"/>
      <c r="F4" s="16"/>
      <c r="H4"/>
      <c r="I4" s="11"/>
      <c r="J4" s="12"/>
      <c r="K4" s="13"/>
      <c r="L4" s="26"/>
    </row>
    <row r="5" spans="1:109" ht="23.25" customHeight="1" x14ac:dyDescent="0.25">
      <c r="A5" s="382" t="s">
        <v>413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26"/>
    </row>
    <row r="6" spans="1:109" ht="23.25" customHeight="1" x14ac:dyDescent="0.25">
      <c r="A6" s="10"/>
      <c r="H6"/>
      <c r="I6"/>
      <c r="J6"/>
      <c r="L6" t="s">
        <v>15</v>
      </c>
    </row>
    <row r="7" spans="1:109" ht="23.25" customHeight="1" x14ac:dyDescent="0.25">
      <c r="A7" s="383" t="s">
        <v>414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t="s">
        <v>16</v>
      </c>
    </row>
    <row r="8" spans="1:109" ht="23.25" customHeight="1" x14ac:dyDescent="0.25">
      <c r="A8" s="382" t="s">
        <v>17</v>
      </c>
      <c r="B8" s="382"/>
      <c r="C8" s="382"/>
      <c r="D8" s="382"/>
      <c r="E8" s="382"/>
      <c r="F8" s="382"/>
      <c r="G8" s="382"/>
      <c r="H8" s="382"/>
      <c r="I8" s="27"/>
      <c r="J8" s="28"/>
      <c r="K8" s="10"/>
      <c r="L8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8"/>
      <c r="J9" s="381"/>
      <c r="K9" s="24"/>
      <c r="L9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</row>
    <row r="11" spans="1:109" ht="23.25" customHeight="1" x14ac:dyDescent="0.25">
      <c r="A11" s="151">
        <v>1</v>
      </c>
      <c r="B11" s="126" t="s">
        <v>161</v>
      </c>
      <c r="C11" s="140">
        <v>860027563</v>
      </c>
      <c r="D11" s="127">
        <v>43115</v>
      </c>
      <c r="E11" s="126" t="s">
        <v>415</v>
      </c>
      <c r="F11" s="137">
        <v>818</v>
      </c>
      <c r="G11" s="139">
        <v>3118</v>
      </c>
      <c r="H11" s="172">
        <v>8633823</v>
      </c>
      <c r="I11" s="156">
        <v>495</v>
      </c>
      <c r="J11" s="158">
        <v>54075000</v>
      </c>
      <c r="K11" s="380">
        <v>43126</v>
      </c>
      <c r="L11" s="380">
        <v>43126</v>
      </c>
      <c r="M11" s="31"/>
      <c r="N11" s="32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</row>
    <row r="12" spans="1:109" ht="26.25" customHeight="1" x14ac:dyDescent="0.25">
      <c r="A12" s="151">
        <f t="shared" ref="A12:A15" si="0">A11+1</f>
        <v>2</v>
      </c>
      <c r="B12" s="147" t="s">
        <v>212</v>
      </c>
      <c r="C12" s="177">
        <v>900452118</v>
      </c>
      <c r="D12" s="127">
        <v>43116</v>
      </c>
      <c r="E12" s="177" t="s">
        <v>213</v>
      </c>
      <c r="F12" s="137">
        <v>618</v>
      </c>
      <c r="G12" s="139">
        <v>3218</v>
      </c>
      <c r="H12" s="168">
        <v>2176704</v>
      </c>
      <c r="I12" s="178">
        <v>203</v>
      </c>
      <c r="J12" s="170">
        <v>13633040</v>
      </c>
      <c r="K12" s="109">
        <v>43126</v>
      </c>
      <c r="L12" s="109">
        <v>43126</v>
      </c>
      <c r="M12" s="32"/>
      <c r="N12" s="3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</row>
    <row r="13" spans="1:109" ht="33" customHeight="1" x14ac:dyDescent="0.25">
      <c r="A13" s="151">
        <f t="shared" si="0"/>
        <v>3</v>
      </c>
      <c r="B13" s="142" t="s">
        <v>83</v>
      </c>
      <c r="C13" s="126">
        <v>80022505</v>
      </c>
      <c r="D13" s="127">
        <v>43116</v>
      </c>
      <c r="E13" s="142" t="s">
        <v>84</v>
      </c>
      <c r="F13" s="144">
        <v>318</v>
      </c>
      <c r="G13" s="139">
        <v>3318</v>
      </c>
      <c r="H13" s="168">
        <v>13163966</v>
      </c>
      <c r="I13" s="178">
        <v>2036</v>
      </c>
      <c r="J13" s="114">
        <v>82448000</v>
      </c>
      <c r="K13" s="109">
        <v>43126</v>
      </c>
      <c r="L13" s="109">
        <v>43126</v>
      </c>
      <c r="M13" s="32"/>
      <c r="N13" s="32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</row>
    <row r="14" spans="1:109" ht="23.25" customHeight="1" x14ac:dyDescent="0.25">
      <c r="A14" s="151">
        <f t="shared" si="0"/>
        <v>4</v>
      </c>
      <c r="B14" s="111" t="s">
        <v>306</v>
      </c>
      <c r="C14" s="126">
        <v>860077695</v>
      </c>
      <c r="D14" s="127">
        <v>43117</v>
      </c>
      <c r="E14" s="112" t="s">
        <v>82</v>
      </c>
      <c r="F14" s="144">
        <v>1118</v>
      </c>
      <c r="G14" s="139">
        <v>3418</v>
      </c>
      <c r="H14" s="168">
        <v>9067450</v>
      </c>
      <c r="I14" s="178">
        <v>73723</v>
      </c>
      <c r="J14" s="170">
        <v>56790874</v>
      </c>
      <c r="K14" s="102">
        <v>43126</v>
      </c>
      <c r="L14" s="102">
        <v>43126</v>
      </c>
      <c r="M14" s="32"/>
      <c r="N14" s="32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</row>
    <row r="15" spans="1:109" ht="23.25" customHeight="1" x14ac:dyDescent="0.25">
      <c r="A15" s="151">
        <f t="shared" si="0"/>
        <v>5</v>
      </c>
      <c r="B15" s="142" t="s">
        <v>176</v>
      </c>
      <c r="C15" s="126">
        <v>124255</v>
      </c>
      <c r="D15" s="127">
        <v>43118</v>
      </c>
      <c r="E15" s="142" t="s">
        <v>177</v>
      </c>
      <c r="F15" s="144">
        <v>418</v>
      </c>
      <c r="G15" s="126">
        <v>4718</v>
      </c>
      <c r="H15" s="168">
        <v>2280000</v>
      </c>
      <c r="I15" s="156">
        <v>4718</v>
      </c>
      <c r="J15" s="114">
        <v>14280000</v>
      </c>
      <c r="K15" s="109">
        <v>43126</v>
      </c>
      <c r="L15" s="109">
        <v>43126</v>
      </c>
      <c r="M15" s="32"/>
      <c r="N15" s="32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</row>
  </sheetData>
  <mergeCells count="6">
    <mergeCell ref="A1:K1"/>
    <mergeCell ref="A2:K2"/>
    <mergeCell ref="A3:K3"/>
    <mergeCell ref="A7:K7"/>
    <mergeCell ref="A8:H8"/>
    <mergeCell ref="A5:K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21"/>
  <sheetViews>
    <sheetView zoomScale="70" zoomScaleNormal="70" workbookViewId="0">
      <pane ySplit="10" topLeftCell="A11" activePane="bottomLeft" state="frozen"/>
      <selection activeCell="A196" sqref="A196"/>
      <selection pane="bottomLeft" activeCell="I127" sqref="I127"/>
    </sheetView>
  </sheetViews>
  <sheetFormatPr baseColWidth="10" defaultRowHeight="23.25" customHeight="1" x14ac:dyDescent="0.25"/>
  <cols>
    <col min="1" max="1" width="10.5703125" style="135" customWidth="1"/>
    <col min="2" max="2" width="32.28515625" style="66" customWidth="1"/>
    <col min="3" max="3" width="21.5703125" style="66" hidden="1" customWidth="1"/>
    <col min="4" max="4" width="16.5703125" style="66" customWidth="1"/>
    <col min="5" max="5" width="41.42578125" style="66" hidden="1" customWidth="1"/>
    <col min="6" max="6" width="18.7109375" style="66" hidden="1" customWidth="1"/>
    <col min="7" max="7" width="27.28515625" style="66" hidden="1" customWidth="1"/>
    <col min="8" max="8" width="21.5703125" style="17" hidden="1" customWidth="1"/>
    <col min="9" max="9" width="35.85546875" style="23" customWidth="1"/>
    <col min="10" max="10" width="27.140625" style="17" customWidth="1"/>
    <col min="11" max="11" width="21.140625" style="66" customWidth="1"/>
    <col min="12" max="12" width="15" style="66" hidden="1" customWidth="1"/>
    <col min="13" max="13" width="42.7109375" style="101" customWidth="1"/>
    <col min="14" max="14" width="43.28515625" style="101" customWidth="1"/>
    <col min="15" max="15" width="32" style="101" customWidth="1"/>
    <col min="16" max="16" width="40.5703125" style="101" customWidth="1"/>
    <col min="17" max="17" width="34.42578125" style="101" customWidth="1"/>
    <col min="18" max="18" width="34" style="101" customWidth="1"/>
    <col min="19" max="19" width="44.28515625" style="101" customWidth="1"/>
    <col min="20" max="20" width="33.5703125" style="101" customWidth="1"/>
    <col min="21" max="109" width="11.42578125" style="101"/>
    <col min="110" max="16384" width="11.42578125" style="66"/>
  </cols>
  <sheetData>
    <row r="1" spans="1:109" ht="23.25" customHeight="1" x14ac:dyDescent="0.25">
      <c r="A1" s="382" t="s">
        <v>11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18" t="s">
        <v>14</v>
      </c>
    </row>
    <row r="2" spans="1:109" ht="23.25" customHeight="1" x14ac:dyDescent="0.25">
      <c r="A2" s="382" t="s">
        <v>12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26"/>
    </row>
    <row r="3" spans="1:109" ht="23.25" customHeight="1" x14ac:dyDescent="0.25">
      <c r="A3" s="382" t="s">
        <v>13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26"/>
    </row>
    <row r="4" spans="1:109" ht="23.25" customHeight="1" x14ac:dyDescent="0.25">
      <c r="A4" s="11"/>
      <c r="B4" s="12"/>
      <c r="C4" s="13"/>
      <c r="D4" s="14"/>
      <c r="E4" s="15"/>
      <c r="F4" s="16"/>
      <c r="H4" s="66"/>
      <c r="I4" s="11"/>
      <c r="J4" s="12"/>
      <c r="K4" s="13"/>
      <c r="L4" s="26"/>
    </row>
    <row r="5" spans="1:109" ht="23.25" customHeight="1" x14ac:dyDescent="0.25">
      <c r="A5" s="382" t="s">
        <v>127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26"/>
    </row>
    <row r="6" spans="1:109" ht="23.25" customHeight="1" x14ac:dyDescent="0.25">
      <c r="A6" s="101"/>
      <c r="H6" s="66"/>
      <c r="I6" s="66"/>
      <c r="J6" s="66"/>
      <c r="L6" s="66" t="s">
        <v>15</v>
      </c>
    </row>
    <row r="7" spans="1:109" ht="23.25" customHeight="1" x14ac:dyDescent="0.25">
      <c r="A7" s="383" t="s">
        <v>22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66" t="s">
        <v>16</v>
      </c>
    </row>
    <row r="8" spans="1:109" ht="23.25" customHeight="1" x14ac:dyDescent="0.25">
      <c r="A8" s="382" t="s">
        <v>17</v>
      </c>
      <c r="B8" s="382"/>
      <c r="C8" s="382"/>
      <c r="D8" s="382"/>
      <c r="E8" s="382"/>
      <c r="F8" s="382"/>
      <c r="G8" s="382"/>
      <c r="H8" s="382"/>
      <c r="I8" s="27"/>
      <c r="J8" s="28"/>
      <c r="K8" s="101"/>
      <c r="L8" s="66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8"/>
      <c r="J9" s="29" t="s">
        <v>23</v>
      </c>
      <c r="K9" s="24"/>
      <c r="L9" s="66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</row>
    <row r="11" spans="1:109" ht="23.25" customHeight="1" x14ac:dyDescent="0.25">
      <c r="A11" s="385">
        <v>392</v>
      </c>
      <c r="B11" s="133" t="s">
        <v>128</v>
      </c>
      <c r="C11" s="126">
        <v>830119276</v>
      </c>
      <c r="D11" s="127">
        <v>43061</v>
      </c>
      <c r="E11" s="126" t="s">
        <v>42</v>
      </c>
      <c r="F11" s="126">
        <v>22817</v>
      </c>
      <c r="G11" s="126"/>
      <c r="H11" s="152"/>
      <c r="I11" s="153" t="s">
        <v>129</v>
      </c>
      <c r="J11" s="154">
        <f>2389834100.5+1180263182</f>
        <v>3570097282.5</v>
      </c>
      <c r="K11" s="155">
        <v>43104</v>
      </c>
      <c r="L11" s="155">
        <v>43104</v>
      </c>
      <c r="M11" s="129"/>
      <c r="N11" s="32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</row>
    <row r="12" spans="1:109" ht="26.25" customHeight="1" x14ac:dyDescent="0.25">
      <c r="A12" s="387"/>
      <c r="B12" s="133" t="s">
        <v>130</v>
      </c>
      <c r="C12" s="126">
        <v>830119276</v>
      </c>
      <c r="D12" s="127">
        <v>43061</v>
      </c>
      <c r="E12" s="126" t="s">
        <v>42</v>
      </c>
      <c r="F12" s="126">
        <v>278317</v>
      </c>
      <c r="G12" s="126"/>
      <c r="H12" s="152"/>
      <c r="I12" s="153" t="s">
        <v>129</v>
      </c>
      <c r="J12" s="154">
        <v>1037442000</v>
      </c>
      <c r="K12" s="155">
        <v>43104</v>
      </c>
      <c r="L12" s="155">
        <v>43104</v>
      </c>
      <c r="M12" s="32"/>
      <c r="N12" s="32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</row>
    <row r="13" spans="1:109" ht="33" customHeight="1" x14ac:dyDescent="0.25">
      <c r="A13" s="151">
        <f>A11+1</f>
        <v>393</v>
      </c>
      <c r="B13" s="126" t="s">
        <v>29</v>
      </c>
      <c r="C13" s="126">
        <v>800212545</v>
      </c>
      <c r="D13" s="127">
        <v>43062</v>
      </c>
      <c r="E13" s="126" t="s">
        <v>30</v>
      </c>
      <c r="F13" s="126">
        <v>192117</v>
      </c>
      <c r="G13" s="139">
        <v>344617</v>
      </c>
      <c r="H13" s="152">
        <f>1607540+2991626</f>
        <v>4599166</v>
      </c>
      <c r="I13" s="156" t="s">
        <v>131</v>
      </c>
      <c r="J13" s="154">
        <v>414725381</v>
      </c>
      <c r="K13" s="155">
        <v>43104</v>
      </c>
      <c r="L13" s="155">
        <v>43104</v>
      </c>
      <c r="M13" s="32"/>
      <c r="N13" s="32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</row>
    <row r="14" spans="1:109" ht="23.25" customHeight="1" x14ac:dyDescent="0.25">
      <c r="A14" s="151">
        <f t="shared" ref="A14:A65" si="0">A13+1</f>
        <v>394</v>
      </c>
      <c r="B14" s="133" t="s">
        <v>132</v>
      </c>
      <c r="C14" s="126">
        <v>830095213</v>
      </c>
      <c r="D14" s="127">
        <v>43061</v>
      </c>
      <c r="E14" s="157" t="s">
        <v>133</v>
      </c>
      <c r="F14" s="126">
        <v>237517</v>
      </c>
      <c r="G14" s="126"/>
      <c r="H14" s="152"/>
      <c r="I14" s="153" t="s">
        <v>68</v>
      </c>
      <c r="J14" s="158">
        <v>873983416</v>
      </c>
      <c r="K14" s="155">
        <v>43104</v>
      </c>
      <c r="L14" s="155">
        <v>43104</v>
      </c>
      <c r="M14" s="32"/>
      <c r="N14" s="32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</row>
    <row r="15" spans="1:109" ht="23.25" customHeight="1" x14ac:dyDescent="0.25">
      <c r="A15" s="151">
        <f t="shared" si="0"/>
        <v>395</v>
      </c>
      <c r="B15" s="133" t="s">
        <v>132</v>
      </c>
      <c r="C15" s="126">
        <v>830095213</v>
      </c>
      <c r="D15" s="127">
        <v>43062</v>
      </c>
      <c r="E15" s="157" t="s">
        <v>133</v>
      </c>
      <c r="F15" s="126">
        <v>237517</v>
      </c>
      <c r="G15" s="126"/>
      <c r="H15" s="152"/>
      <c r="I15" s="153" t="s">
        <v>68</v>
      </c>
      <c r="J15" s="158">
        <v>951597602</v>
      </c>
      <c r="K15" s="155">
        <v>43104</v>
      </c>
      <c r="L15" s="155">
        <v>43104</v>
      </c>
      <c r="M15" s="32"/>
      <c r="N15" s="32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</row>
    <row r="16" spans="1:109" ht="23.25" customHeight="1" x14ac:dyDescent="0.25">
      <c r="A16" s="151">
        <f t="shared" si="0"/>
        <v>396</v>
      </c>
      <c r="B16" s="159" t="s">
        <v>134</v>
      </c>
      <c r="C16" s="160">
        <v>830032436</v>
      </c>
      <c r="D16" s="161">
        <v>43062</v>
      </c>
      <c r="E16" s="162" t="s">
        <v>135</v>
      </c>
      <c r="F16" s="160">
        <v>257417</v>
      </c>
      <c r="G16" s="160"/>
      <c r="H16" s="163"/>
      <c r="I16" s="164">
        <v>73858</v>
      </c>
      <c r="J16" s="165"/>
      <c r="K16" s="166"/>
      <c r="L16" s="166"/>
      <c r="M16" s="32"/>
      <c r="N16" s="32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</row>
    <row r="17" spans="1:109" ht="23.25" customHeight="1" x14ac:dyDescent="0.25">
      <c r="A17" s="151">
        <f t="shared" si="0"/>
        <v>397</v>
      </c>
      <c r="B17" s="133" t="s">
        <v>132</v>
      </c>
      <c r="C17" s="126">
        <v>830095213</v>
      </c>
      <c r="D17" s="127">
        <v>43062</v>
      </c>
      <c r="E17" s="157" t="s">
        <v>133</v>
      </c>
      <c r="F17" s="126">
        <v>237517</v>
      </c>
      <c r="G17" s="126"/>
      <c r="H17" s="152"/>
      <c r="I17" s="153" t="s">
        <v>68</v>
      </c>
      <c r="J17" s="167">
        <v>60188141</v>
      </c>
      <c r="K17" s="155">
        <v>43104</v>
      </c>
      <c r="L17" s="155">
        <v>43104</v>
      </c>
      <c r="M17" s="32"/>
      <c r="N17" s="32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</row>
    <row r="18" spans="1:109" ht="23.25" customHeight="1" x14ac:dyDescent="0.25">
      <c r="A18" s="151">
        <f t="shared" si="0"/>
        <v>398</v>
      </c>
      <c r="B18" s="142" t="s">
        <v>72</v>
      </c>
      <c r="C18" s="126">
        <v>830122566</v>
      </c>
      <c r="D18" s="127">
        <v>43062</v>
      </c>
      <c r="E18" s="147" t="s">
        <v>73</v>
      </c>
      <c r="F18" s="126">
        <v>278117</v>
      </c>
      <c r="G18" s="126">
        <v>389517</v>
      </c>
      <c r="H18" s="152"/>
      <c r="I18" s="153" t="s">
        <v>74</v>
      </c>
      <c r="J18" s="167">
        <v>1006442013.04</v>
      </c>
      <c r="K18" s="155">
        <v>43104</v>
      </c>
      <c r="L18" s="155">
        <v>43104</v>
      </c>
      <c r="M18" s="32"/>
      <c r="N18" s="32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</row>
    <row r="19" spans="1:109" ht="23.25" customHeight="1" x14ac:dyDescent="0.25">
      <c r="A19" s="151">
        <f t="shared" si="0"/>
        <v>399</v>
      </c>
      <c r="B19" s="140" t="s">
        <v>136</v>
      </c>
      <c r="C19" s="140">
        <v>800198591</v>
      </c>
      <c r="D19" s="127">
        <v>43063</v>
      </c>
      <c r="E19" s="140" t="s">
        <v>137</v>
      </c>
      <c r="F19" s="140">
        <v>74417</v>
      </c>
      <c r="G19" s="139"/>
      <c r="H19" s="152"/>
      <c r="I19" s="156">
        <v>8271</v>
      </c>
      <c r="J19" s="154">
        <v>24932558</v>
      </c>
      <c r="K19" s="155">
        <v>43104</v>
      </c>
      <c r="L19" s="155">
        <v>43104</v>
      </c>
      <c r="M19" s="32"/>
      <c r="N19" s="32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</row>
    <row r="20" spans="1:109" ht="28.5" customHeight="1" x14ac:dyDescent="0.25">
      <c r="A20" s="392">
        <f t="shared" si="0"/>
        <v>400</v>
      </c>
      <c r="B20" s="394" t="s">
        <v>77</v>
      </c>
      <c r="C20" s="140" t="s">
        <v>77</v>
      </c>
      <c r="D20" s="396">
        <v>860067479</v>
      </c>
      <c r="E20" s="390" t="s">
        <v>78</v>
      </c>
      <c r="F20" s="140">
        <v>103517</v>
      </c>
      <c r="G20" s="139">
        <v>343817</v>
      </c>
      <c r="H20" s="168">
        <f>1959998.77+1956013.84</f>
        <v>3916012.6100000003</v>
      </c>
      <c r="I20" s="169" t="s">
        <v>79</v>
      </c>
      <c r="J20" s="170">
        <f>87040808.56+86863843.57</f>
        <v>173904652.13</v>
      </c>
      <c r="K20" s="155">
        <v>43104</v>
      </c>
      <c r="L20" s="155">
        <v>43104</v>
      </c>
      <c r="M20" s="32"/>
      <c r="N20" s="32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</row>
    <row r="21" spans="1:109" ht="23.25" customHeight="1" x14ac:dyDescent="0.25">
      <c r="A21" s="393"/>
      <c r="B21" s="395"/>
      <c r="C21" s="137" t="s">
        <v>138</v>
      </c>
      <c r="D21" s="397"/>
      <c r="E21" s="391"/>
      <c r="F21" s="140">
        <v>189717</v>
      </c>
      <c r="G21" s="139">
        <v>343917</v>
      </c>
      <c r="H21" s="168">
        <f>410002.46+193480.03</f>
        <v>603482.49</v>
      </c>
      <c r="I21" s="169" t="s">
        <v>139</v>
      </c>
      <c r="J21" s="170">
        <f>13153995.12+10478471.37</f>
        <v>23632466.489999998</v>
      </c>
      <c r="K21" s="155">
        <v>43104</v>
      </c>
      <c r="L21" s="155">
        <v>43104</v>
      </c>
      <c r="M21" s="32"/>
      <c r="N21" s="32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</row>
    <row r="22" spans="1:109" ht="23.25" customHeight="1" x14ac:dyDescent="0.25">
      <c r="A22" s="151">
        <f>A20+1</f>
        <v>401</v>
      </c>
      <c r="B22" s="126" t="s">
        <v>140</v>
      </c>
      <c r="C22" s="126">
        <v>901094951</v>
      </c>
      <c r="D22" s="127">
        <v>43069</v>
      </c>
      <c r="E22" s="126" t="s">
        <v>141</v>
      </c>
      <c r="F22" s="126">
        <v>199917</v>
      </c>
      <c r="G22" s="139">
        <v>370317</v>
      </c>
      <c r="H22" s="168">
        <v>0</v>
      </c>
      <c r="I22" s="153" t="s">
        <v>142</v>
      </c>
      <c r="J22" s="170">
        <f>192674957.67-4396014.06</f>
        <v>188278943.60999998</v>
      </c>
      <c r="K22" s="155"/>
      <c r="L22" s="155"/>
      <c r="M22" s="32"/>
      <c r="N22" s="32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</row>
    <row r="23" spans="1:109" ht="40.5" customHeight="1" x14ac:dyDescent="0.25">
      <c r="A23" s="151">
        <f t="shared" si="0"/>
        <v>402</v>
      </c>
      <c r="B23" s="142" t="s">
        <v>143</v>
      </c>
      <c r="C23" s="135">
        <v>860020227</v>
      </c>
      <c r="D23" s="127">
        <v>43069</v>
      </c>
      <c r="E23" s="147" t="s">
        <v>53</v>
      </c>
      <c r="F23" s="144">
        <v>147617</v>
      </c>
      <c r="G23" s="128">
        <v>370817</v>
      </c>
      <c r="H23" s="152">
        <f>8560.86+61128.43</f>
        <v>69689.290000000008</v>
      </c>
      <c r="I23" s="156" t="s">
        <v>144</v>
      </c>
      <c r="J23" s="154">
        <v>44083975</v>
      </c>
      <c r="K23" s="155">
        <v>43105</v>
      </c>
      <c r="L23" s="155">
        <v>43105</v>
      </c>
      <c r="M23" s="32"/>
      <c r="N23" s="32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</row>
    <row r="24" spans="1:109" ht="23.25" customHeight="1" x14ac:dyDescent="0.25">
      <c r="A24" s="151">
        <f t="shared" si="0"/>
        <v>403</v>
      </c>
      <c r="B24" s="131" t="s">
        <v>145</v>
      </c>
      <c r="C24" s="126">
        <v>900180981</v>
      </c>
      <c r="D24" s="127">
        <v>43069</v>
      </c>
      <c r="E24" s="126" t="s">
        <v>146</v>
      </c>
      <c r="F24" s="126">
        <v>253517</v>
      </c>
      <c r="G24" s="128" t="s">
        <v>147</v>
      </c>
      <c r="H24" s="152">
        <f>95682+95354+96461</f>
        <v>287497</v>
      </c>
      <c r="I24" s="171" t="s">
        <v>148</v>
      </c>
      <c r="J24" s="158">
        <f>599270+597220+604150</f>
        <v>1800640</v>
      </c>
      <c r="K24" s="155">
        <v>43105</v>
      </c>
      <c r="L24" s="155">
        <v>43105</v>
      </c>
      <c r="M24" s="32"/>
      <c r="N24" s="32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</row>
    <row r="25" spans="1:109" ht="23.25" customHeight="1" x14ac:dyDescent="0.25">
      <c r="A25" s="151">
        <f t="shared" si="0"/>
        <v>404</v>
      </c>
      <c r="B25" s="126" t="s">
        <v>116</v>
      </c>
      <c r="C25" s="126">
        <v>900761131</v>
      </c>
      <c r="D25" s="127">
        <v>43069</v>
      </c>
      <c r="E25" s="126" t="s">
        <v>117</v>
      </c>
      <c r="F25" s="126">
        <v>28117</v>
      </c>
      <c r="G25" s="128">
        <v>358117</v>
      </c>
      <c r="H25" s="172">
        <v>239496</v>
      </c>
      <c r="I25" s="156">
        <v>687</v>
      </c>
      <c r="J25" s="158">
        <v>1500000</v>
      </c>
      <c r="K25" s="155">
        <v>43105</v>
      </c>
      <c r="L25" s="155">
        <v>43105</v>
      </c>
      <c r="M25" s="32"/>
      <c r="N25" s="32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</row>
    <row r="26" spans="1:109" ht="36" customHeight="1" x14ac:dyDescent="0.25">
      <c r="A26" s="151">
        <f t="shared" si="0"/>
        <v>405</v>
      </c>
      <c r="B26" s="111" t="s">
        <v>149</v>
      </c>
      <c r="C26" s="135">
        <v>900518495</v>
      </c>
      <c r="D26" s="127">
        <v>43070</v>
      </c>
      <c r="E26" s="112" t="s">
        <v>150</v>
      </c>
      <c r="F26" s="144">
        <v>283917</v>
      </c>
      <c r="G26" s="139">
        <v>347417</v>
      </c>
      <c r="H26" s="168">
        <v>0</v>
      </c>
      <c r="I26" s="153">
        <v>105</v>
      </c>
      <c r="J26" s="173">
        <f>197478991.6*0.8</f>
        <v>157983193.28</v>
      </c>
      <c r="K26" s="155">
        <v>43109</v>
      </c>
      <c r="L26" s="155">
        <v>43109</v>
      </c>
      <c r="M26" s="32"/>
      <c r="N26" s="32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</row>
    <row r="27" spans="1:109" ht="43.5" customHeight="1" x14ac:dyDescent="0.25">
      <c r="A27" s="151">
        <f t="shared" si="0"/>
        <v>406</v>
      </c>
      <c r="B27" s="141" t="s">
        <v>151</v>
      </c>
      <c r="C27" s="140">
        <v>830001338</v>
      </c>
      <c r="D27" s="127">
        <v>43070</v>
      </c>
      <c r="E27" s="126" t="s">
        <v>152</v>
      </c>
      <c r="F27" s="140">
        <v>6017</v>
      </c>
      <c r="G27" s="63" t="s">
        <v>153</v>
      </c>
      <c r="H27" s="152">
        <f>62662193.51</f>
        <v>62662193.509999998</v>
      </c>
      <c r="I27" s="174" t="s">
        <v>154</v>
      </c>
      <c r="J27" s="175">
        <f>(2129611.31+1084578+737901699.73)-(0.49+1087.45)</f>
        <v>741114801.0999999</v>
      </c>
      <c r="K27" s="155">
        <v>43109</v>
      </c>
      <c r="L27" s="155">
        <v>43109</v>
      </c>
      <c r="M27" s="32"/>
      <c r="N27" s="32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</row>
    <row r="28" spans="1:109" ht="36" customHeight="1" x14ac:dyDescent="0.25">
      <c r="A28" s="151">
        <f t="shared" si="0"/>
        <v>407</v>
      </c>
      <c r="B28" s="126" t="s">
        <v>52</v>
      </c>
      <c r="C28" s="134">
        <v>860020227</v>
      </c>
      <c r="D28" s="127">
        <v>43070</v>
      </c>
      <c r="E28" s="145" t="s">
        <v>53</v>
      </c>
      <c r="F28" s="126">
        <v>4517</v>
      </c>
      <c r="G28" s="64" t="s">
        <v>155</v>
      </c>
      <c r="H28" s="168">
        <f>82758.62+72758.62+165517.24+41379.31</f>
        <v>362413.79</v>
      </c>
      <c r="I28" s="176" t="s">
        <v>156</v>
      </c>
      <c r="J28" s="170">
        <f>600000+600000+1200000+300000</f>
        <v>2700000</v>
      </c>
      <c r="K28" s="155">
        <v>43109</v>
      </c>
      <c r="L28" s="155">
        <v>43109</v>
      </c>
      <c r="M28" s="32"/>
      <c r="N28" s="32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</row>
    <row r="29" spans="1:109" ht="23.25" customHeight="1" x14ac:dyDescent="0.25">
      <c r="A29" s="151">
        <f t="shared" si="0"/>
        <v>408</v>
      </c>
      <c r="B29" s="142" t="s">
        <v>120</v>
      </c>
      <c r="C29" s="135">
        <v>860012336</v>
      </c>
      <c r="D29" s="127">
        <v>43070</v>
      </c>
      <c r="E29" s="142" t="s">
        <v>121</v>
      </c>
      <c r="F29" s="143">
        <v>188717</v>
      </c>
      <c r="G29" s="139">
        <v>372217</v>
      </c>
      <c r="H29" s="168">
        <v>13737000</v>
      </c>
      <c r="I29" s="153">
        <v>10174879</v>
      </c>
      <c r="J29" s="150">
        <v>86037000</v>
      </c>
      <c r="K29" s="155">
        <v>43109</v>
      </c>
      <c r="L29" s="155">
        <v>43109</v>
      </c>
      <c r="M29" s="32"/>
      <c r="N29" s="32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</row>
    <row r="30" spans="1:109" ht="23.25" customHeight="1" x14ac:dyDescent="0.25">
      <c r="A30" s="151">
        <f t="shared" si="0"/>
        <v>409</v>
      </c>
      <c r="B30" s="111" t="s">
        <v>157</v>
      </c>
      <c r="C30" s="177">
        <v>830504600</v>
      </c>
      <c r="D30" s="127">
        <v>43070</v>
      </c>
      <c r="E30" s="177" t="s">
        <v>158</v>
      </c>
      <c r="F30" s="143">
        <v>232417</v>
      </c>
      <c r="G30" s="139">
        <v>372917</v>
      </c>
      <c r="H30" s="152">
        <v>3592437</v>
      </c>
      <c r="I30" s="156">
        <v>9643</v>
      </c>
      <c r="J30" s="173">
        <v>22500000</v>
      </c>
      <c r="K30" s="155">
        <v>43109</v>
      </c>
      <c r="L30" s="155">
        <v>43109</v>
      </c>
      <c r="M30" s="32"/>
      <c r="N30" s="32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</row>
    <row r="31" spans="1:109" ht="40.5" customHeight="1" x14ac:dyDescent="0.25">
      <c r="A31" s="151">
        <f t="shared" si="0"/>
        <v>410</v>
      </c>
      <c r="B31" s="142" t="s">
        <v>159</v>
      </c>
      <c r="C31" s="138">
        <v>800141397</v>
      </c>
      <c r="D31" s="127">
        <v>43073</v>
      </c>
      <c r="E31" s="147" t="s">
        <v>124</v>
      </c>
      <c r="F31" s="144">
        <v>282817</v>
      </c>
      <c r="G31" s="139">
        <v>373017</v>
      </c>
      <c r="H31" s="152">
        <v>0</v>
      </c>
      <c r="I31" s="156" t="s">
        <v>160</v>
      </c>
      <c r="J31" s="173">
        <v>215172672</v>
      </c>
      <c r="K31" s="155">
        <v>43109</v>
      </c>
      <c r="L31" s="155">
        <v>43109</v>
      </c>
      <c r="M31" s="32"/>
      <c r="N31" s="32"/>
    </row>
    <row r="32" spans="1:109" ht="31.5" customHeight="1" x14ac:dyDescent="0.25">
      <c r="A32" s="151">
        <f t="shared" si="0"/>
        <v>411</v>
      </c>
      <c r="B32" s="111" t="s">
        <v>161</v>
      </c>
      <c r="C32" s="126">
        <v>860027563</v>
      </c>
      <c r="D32" s="127">
        <v>43073</v>
      </c>
      <c r="E32" s="112" t="s">
        <v>162</v>
      </c>
      <c r="F32" s="144">
        <v>324917</v>
      </c>
      <c r="G32" s="139">
        <v>373117</v>
      </c>
      <c r="H32" s="152">
        <v>8633823</v>
      </c>
      <c r="I32" s="156">
        <v>485</v>
      </c>
      <c r="J32" s="173">
        <v>54075000</v>
      </c>
      <c r="K32" s="155">
        <v>43109</v>
      </c>
      <c r="L32" s="155">
        <v>43109</v>
      </c>
      <c r="M32" s="32"/>
      <c r="N32" s="32"/>
    </row>
    <row r="33" spans="1:14" ht="23.25" customHeight="1" x14ac:dyDescent="0.25">
      <c r="A33" s="151">
        <f t="shared" si="0"/>
        <v>412</v>
      </c>
      <c r="B33" s="111" t="s">
        <v>163</v>
      </c>
      <c r="C33" s="140">
        <v>830012785</v>
      </c>
      <c r="D33" s="127">
        <v>43073</v>
      </c>
      <c r="E33" s="112" t="s">
        <v>164</v>
      </c>
      <c r="F33" s="144">
        <v>214217</v>
      </c>
      <c r="G33" s="139">
        <v>373217</v>
      </c>
      <c r="H33" s="168">
        <v>57618450</v>
      </c>
      <c r="I33" s="178">
        <v>3243</v>
      </c>
      <c r="J33" s="179">
        <v>360873450</v>
      </c>
      <c r="K33" s="155">
        <v>43109</v>
      </c>
      <c r="L33" s="155">
        <v>43109</v>
      </c>
      <c r="M33" s="32"/>
      <c r="N33" s="32"/>
    </row>
    <row r="34" spans="1:14" ht="23.25" customHeight="1" x14ac:dyDescent="0.25">
      <c r="A34" s="151">
        <f t="shared" si="0"/>
        <v>413</v>
      </c>
      <c r="B34" s="115" t="s">
        <v>165</v>
      </c>
      <c r="C34" s="180">
        <v>800015583</v>
      </c>
      <c r="D34" s="181">
        <v>43073</v>
      </c>
      <c r="E34" s="110" t="s">
        <v>166</v>
      </c>
      <c r="F34" s="182">
        <v>287917</v>
      </c>
      <c r="G34" s="113">
        <v>373517</v>
      </c>
      <c r="H34" s="183">
        <v>0</v>
      </c>
      <c r="I34" s="184" t="s">
        <v>167</v>
      </c>
      <c r="J34" s="185">
        <v>686108760.98000002</v>
      </c>
      <c r="K34" s="155">
        <v>43109</v>
      </c>
      <c r="L34" s="155">
        <v>43109</v>
      </c>
      <c r="M34" s="32"/>
      <c r="N34" s="32"/>
    </row>
    <row r="35" spans="1:14" ht="23.25" customHeight="1" x14ac:dyDescent="0.25">
      <c r="A35" s="385">
        <f t="shared" si="0"/>
        <v>414</v>
      </c>
      <c r="B35" s="111" t="s">
        <v>113</v>
      </c>
      <c r="C35" s="140">
        <v>800141397</v>
      </c>
      <c r="D35" s="186">
        <v>43073</v>
      </c>
      <c r="E35" s="187" t="s">
        <v>114</v>
      </c>
      <c r="F35" s="112">
        <v>123317</v>
      </c>
      <c r="G35" s="140">
        <v>373817</v>
      </c>
      <c r="H35" s="168">
        <v>0</v>
      </c>
      <c r="I35" s="188" t="s">
        <v>168</v>
      </c>
      <c r="J35" s="189">
        <f>73331*3300</f>
        <v>241992300</v>
      </c>
      <c r="K35" s="155">
        <v>43109</v>
      </c>
      <c r="L35" s="155">
        <v>43109</v>
      </c>
      <c r="M35" s="32"/>
      <c r="N35" s="32"/>
    </row>
    <row r="36" spans="1:14" ht="23.25" customHeight="1" x14ac:dyDescent="0.25">
      <c r="A36" s="387"/>
      <c r="B36" s="111" t="s">
        <v>169</v>
      </c>
      <c r="C36" s="140">
        <v>800141397</v>
      </c>
      <c r="D36" s="186">
        <v>43073</v>
      </c>
      <c r="E36" s="187" t="s">
        <v>114</v>
      </c>
      <c r="F36" s="144">
        <v>286317</v>
      </c>
      <c r="G36" s="140">
        <v>373917</v>
      </c>
      <c r="H36" s="168">
        <v>0</v>
      </c>
      <c r="I36" s="188" t="s">
        <v>170</v>
      </c>
      <c r="J36" s="170">
        <f>36665.5*3300</f>
        <v>120996150</v>
      </c>
      <c r="K36" s="155">
        <v>43109</v>
      </c>
      <c r="L36" s="155">
        <v>43109</v>
      </c>
      <c r="M36" s="32"/>
      <c r="N36" s="32"/>
    </row>
    <row r="37" spans="1:14" ht="23.25" customHeight="1" x14ac:dyDescent="0.25">
      <c r="A37" s="151">
        <f>A35+1</f>
        <v>415</v>
      </c>
      <c r="B37" s="111" t="s">
        <v>171</v>
      </c>
      <c r="C37" s="135">
        <v>800141397</v>
      </c>
      <c r="D37" s="186">
        <v>43074</v>
      </c>
      <c r="E37" s="112" t="s">
        <v>172</v>
      </c>
      <c r="F37" s="144">
        <v>284417</v>
      </c>
      <c r="G37" s="126">
        <v>374117</v>
      </c>
      <c r="H37" s="152">
        <v>0</v>
      </c>
      <c r="I37" s="190">
        <v>6132140270071</v>
      </c>
      <c r="J37" s="173">
        <v>1196052000</v>
      </c>
      <c r="K37" s="155">
        <v>43109</v>
      </c>
      <c r="L37" s="155">
        <v>43109</v>
      </c>
      <c r="M37" s="32"/>
      <c r="N37" s="32"/>
    </row>
    <row r="38" spans="1:14" ht="23.25" customHeight="1" x14ac:dyDescent="0.25">
      <c r="A38" s="151">
        <f t="shared" si="0"/>
        <v>416</v>
      </c>
      <c r="B38" s="141" t="s">
        <v>57</v>
      </c>
      <c r="C38" s="140">
        <v>830122566</v>
      </c>
      <c r="D38" s="186">
        <v>43074</v>
      </c>
      <c r="E38" s="140" t="s">
        <v>58</v>
      </c>
      <c r="F38" s="140">
        <v>188917</v>
      </c>
      <c r="G38" s="126">
        <v>374517</v>
      </c>
      <c r="H38" s="168">
        <v>12730656.699999999</v>
      </c>
      <c r="I38" s="169" t="s">
        <v>173</v>
      </c>
      <c r="J38" s="170">
        <f>79734113+0.65</f>
        <v>79734113.650000006</v>
      </c>
      <c r="K38" s="155">
        <v>43109</v>
      </c>
      <c r="L38" s="155">
        <v>43109</v>
      </c>
      <c r="M38" s="32"/>
      <c r="N38" s="32"/>
    </row>
    <row r="39" spans="1:14" ht="23.25" customHeight="1" x14ac:dyDescent="0.25">
      <c r="A39" s="151">
        <f t="shared" si="0"/>
        <v>417</v>
      </c>
      <c r="B39" s="126" t="s">
        <v>174</v>
      </c>
      <c r="C39" s="126">
        <v>804002893</v>
      </c>
      <c r="D39" s="186">
        <v>43074</v>
      </c>
      <c r="E39" s="126" t="s">
        <v>175</v>
      </c>
      <c r="F39" s="126">
        <v>83617</v>
      </c>
      <c r="G39" s="126">
        <v>374617</v>
      </c>
      <c r="H39" s="168">
        <v>23949580</v>
      </c>
      <c r="I39" s="153">
        <v>775</v>
      </c>
      <c r="J39" s="170">
        <v>150000000</v>
      </c>
      <c r="K39" s="155">
        <v>43109</v>
      </c>
      <c r="L39" s="155">
        <v>43109</v>
      </c>
      <c r="M39" s="32"/>
      <c r="N39" s="32"/>
    </row>
    <row r="40" spans="1:14" ht="23.25" customHeight="1" x14ac:dyDescent="0.25">
      <c r="A40" s="151">
        <f t="shared" si="0"/>
        <v>418</v>
      </c>
      <c r="B40" s="140" t="s">
        <v>176</v>
      </c>
      <c r="C40" s="140">
        <v>124255</v>
      </c>
      <c r="D40" s="186">
        <v>43075</v>
      </c>
      <c r="E40" s="126" t="s">
        <v>177</v>
      </c>
      <c r="F40" s="140">
        <v>189617</v>
      </c>
      <c r="G40" s="126">
        <v>375517</v>
      </c>
      <c r="H40" s="168">
        <v>2280000</v>
      </c>
      <c r="I40" s="156">
        <v>4678</v>
      </c>
      <c r="J40" s="154">
        <v>14280000</v>
      </c>
      <c r="K40" s="155" t="s">
        <v>178</v>
      </c>
      <c r="L40" s="155" t="s">
        <v>178</v>
      </c>
      <c r="M40" s="32"/>
      <c r="N40" s="32"/>
    </row>
    <row r="41" spans="1:14" ht="23.25" customHeight="1" x14ac:dyDescent="0.25">
      <c r="A41" s="151">
        <f t="shared" si="0"/>
        <v>419</v>
      </c>
      <c r="B41" s="142" t="s">
        <v>179</v>
      </c>
      <c r="C41" s="147">
        <v>901121553</v>
      </c>
      <c r="D41" s="186">
        <v>43075</v>
      </c>
      <c r="E41" s="147" t="s">
        <v>180</v>
      </c>
      <c r="F41" s="144">
        <v>293017</v>
      </c>
      <c r="G41" s="126">
        <v>376217</v>
      </c>
      <c r="H41" s="152">
        <v>42015699.310000002</v>
      </c>
      <c r="I41" s="174" t="s">
        <v>181</v>
      </c>
      <c r="J41" s="154">
        <v>263150958.83000001</v>
      </c>
      <c r="K41" s="155">
        <v>43110</v>
      </c>
      <c r="L41" s="155">
        <v>43110</v>
      </c>
      <c r="M41" s="32"/>
      <c r="N41" s="32"/>
    </row>
    <row r="42" spans="1:14" ht="23.25" customHeight="1" x14ac:dyDescent="0.25">
      <c r="A42" s="385">
        <f t="shared" si="0"/>
        <v>420</v>
      </c>
      <c r="B42" s="115" t="s">
        <v>182</v>
      </c>
      <c r="C42" s="180">
        <v>900127140</v>
      </c>
      <c r="D42" s="116">
        <v>43075</v>
      </c>
      <c r="E42" s="115" t="s">
        <v>183</v>
      </c>
      <c r="F42" s="191">
        <v>229317</v>
      </c>
      <c r="G42" s="117">
        <v>376317</v>
      </c>
      <c r="H42" s="192">
        <v>0</v>
      </c>
      <c r="I42" s="193">
        <v>13516</v>
      </c>
      <c r="J42" s="194">
        <v>399513435.01999998</v>
      </c>
      <c r="K42" s="155">
        <v>43110</v>
      </c>
      <c r="L42" s="155">
        <v>43110</v>
      </c>
      <c r="M42" s="32"/>
      <c r="N42" s="32"/>
    </row>
    <row r="43" spans="1:14" ht="23.25" customHeight="1" x14ac:dyDescent="0.25">
      <c r="A43" s="387"/>
      <c r="B43" s="115" t="s">
        <v>184</v>
      </c>
      <c r="C43" s="180">
        <v>900127140</v>
      </c>
      <c r="D43" s="116">
        <v>43075</v>
      </c>
      <c r="E43" s="115" t="s">
        <v>183</v>
      </c>
      <c r="F43" s="191">
        <v>259717</v>
      </c>
      <c r="G43" s="113">
        <v>376417</v>
      </c>
      <c r="H43" s="183">
        <v>0</v>
      </c>
      <c r="I43" s="195">
        <v>13517</v>
      </c>
      <c r="J43" s="196">
        <v>194910867.22</v>
      </c>
      <c r="K43" s="155">
        <v>43110</v>
      </c>
      <c r="L43" s="155">
        <v>43110</v>
      </c>
    </row>
    <row r="44" spans="1:14" ht="23.25" customHeight="1" x14ac:dyDescent="0.25">
      <c r="A44" s="151">
        <f>A42+1</f>
        <v>421</v>
      </c>
      <c r="B44" s="142" t="s">
        <v>185</v>
      </c>
      <c r="C44" s="126">
        <v>900118932</v>
      </c>
      <c r="D44" s="116">
        <v>43075</v>
      </c>
      <c r="E44" s="147" t="s">
        <v>186</v>
      </c>
      <c r="F44" s="144">
        <v>285817</v>
      </c>
      <c r="G44" s="126">
        <v>376817</v>
      </c>
      <c r="H44" s="152">
        <v>7732896.2199999997</v>
      </c>
      <c r="I44" s="190">
        <v>2654</v>
      </c>
      <c r="J44" s="173">
        <f>32000000+6432350+10000000</f>
        <v>48432350</v>
      </c>
      <c r="K44" s="109">
        <v>43110</v>
      </c>
      <c r="L44" s="109">
        <v>43110</v>
      </c>
    </row>
    <row r="45" spans="1:14" ht="23.25" customHeight="1" x14ac:dyDescent="0.25">
      <c r="A45" s="151">
        <f t="shared" si="0"/>
        <v>422</v>
      </c>
      <c r="B45" s="142" t="s">
        <v>187</v>
      </c>
      <c r="C45" s="126">
        <v>830108265</v>
      </c>
      <c r="D45" s="116">
        <v>43075</v>
      </c>
      <c r="E45" s="147" t="s">
        <v>188</v>
      </c>
      <c r="F45" s="144">
        <v>279717</v>
      </c>
      <c r="G45" s="126">
        <v>376917</v>
      </c>
      <c r="H45" s="152">
        <v>3696830.91</v>
      </c>
      <c r="I45" s="190">
        <v>6375</v>
      </c>
      <c r="J45" s="173">
        <v>23153829.43</v>
      </c>
      <c r="K45" s="109">
        <v>43110</v>
      </c>
      <c r="L45" s="109">
        <v>43110</v>
      </c>
    </row>
    <row r="46" spans="1:14" ht="23.25" customHeight="1" x14ac:dyDescent="0.25">
      <c r="A46" s="151">
        <f t="shared" si="0"/>
        <v>423</v>
      </c>
      <c r="B46" s="111" t="s">
        <v>189</v>
      </c>
      <c r="C46" s="126">
        <v>901098749</v>
      </c>
      <c r="D46" s="116">
        <v>43078</v>
      </c>
      <c r="E46" s="177" t="s">
        <v>190</v>
      </c>
      <c r="F46" s="144">
        <v>214617</v>
      </c>
      <c r="G46" s="126">
        <v>377917</v>
      </c>
      <c r="H46" s="152">
        <f>111656595.97+203063608.44+233246773.03</f>
        <v>547966977.43999994</v>
      </c>
      <c r="I46" s="174" t="s">
        <v>191</v>
      </c>
      <c r="J46" s="150">
        <f>699322944.83+1271819542.59+1460861141.21</f>
        <v>3432003628.6300001</v>
      </c>
      <c r="K46" s="109">
        <v>43110</v>
      </c>
      <c r="L46" s="109">
        <v>43110</v>
      </c>
    </row>
    <row r="47" spans="1:14" ht="23.25" customHeight="1" x14ac:dyDescent="0.25">
      <c r="A47" s="385">
        <f t="shared" si="0"/>
        <v>424</v>
      </c>
      <c r="B47" s="142" t="s">
        <v>122</v>
      </c>
      <c r="C47" s="126">
        <v>899999044</v>
      </c>
      <c r="D47" s="116">
        <v>43078</v>
      </c>
      <c r="E47" s="147" t="s">
        <v>123</v>
      </c>
      <c r="F47" s="144">
        <v>81917</v>
      </c>
      <c r="G47" s="126">
        <v>378017</v>
      </c>
      <c r="H47" s="168">
        <v>0</v>
      </c>
      <c r="I47" s="156" t="s">
        <v>192</v>
      </c>
      <c r="J47" s="170">
        <f>394393860-31</f>
        <v>394393829</v>
      </c>
      <c r="K47" s="109">
        <v>43110</v>
      </c>
      <c r="L47" s="109">
        <v>43110</v>
      </c>
    </row>
    <row r="48" spans="1:14" ht="23.25" customHeight="1" x14ac:dyDescent="0.25">
      <c r="A48" s="387"/>
      <c r="B48" s="142" t="s">
        <v>193</v>
      </c>
      <c r="C48" s="126">
        <v>899999044</v>
      </c>
      <c r="D48" s="116">
        <v>43078</v>
      </c>
      <c r="E48" s="147" t="s">
        <v>123</v>
      </c>
      <c r="F48" s="144">
        <v>303617</v>
      </c>
      <c r="G48" s="126">
        <v>378117</v>
      </c>
      <c r="H48" s="152">
        <v>0</v>
      </c>
      <c r="I48" s="190">
        <v>90000050766</v>
      </c>
      <c r="J48" s="150">
        <v>873990000</v>
      </c>
      <c r="K48" s="109">
        <v>43110</v>
      </c>
      <c r="L48" s="109">
        <v>43110</v>
      </c>
    </row>
    <row r="49" spans="1:12" ht="23.25" customHeight="1" x14ac:dyDescent="0.25">
      <c r="A49" s="151">
        <f>A47+1</f>
        <v>425</v>
      </c>
      <c r="B49" s="140" t="s">
        <v>59</v>
      </c>
      <c r="C49" s="140">
        <v>860020227</v>
      </c>
      <c r="D49" s="116">
        <v>43078</v>
      </c>
      <c r="E49" s="126" t="s">
        <v>53</v>
      </c>
      <c r="F49" s="140">
        <v>259417</v>
      </c>
      <c r="G49" s="126">
        <v>378217</v>
      </c>
      <c r="H49" s="168">
        <v>1111258.51</v>
      </c>
      <c r="I49" s="156">
        <v>15246</v>
      </c>
      <c r="J49" s="154">
        <f>793466.61+167446.53+432607.43</f>
        <v>1393520.57</v>
      </c>
      <c r="K49" s="109">
        <v>43110</v>
      </c>
      <c r="L49" s="109">
        <v>43110</v>
      </c>
    </row>
    <row r="50" spans="1:12" ht="23.25" customHeight="1" x14ac:dyDescent="0.25">
      <c r="A50" s="151">
        <f t="shared" si="0"/>
        <v>426</v>
      </c>
      <c r="B50" s="111" t="s">
        <v>194</v>
      </c>
      <c r="C50" s="126">
        <v>830031855</v>
      </c>
      <c r="D50" s="116">
        <v>43078</v>
      </c>
      <c r="E50" s="112" t="s">
        <v>195</v>
      </c>
      <c r="F50" s="144">
        <v>321217</v>
      </c>
      <c r="G50" s="126">
        <v>378717</v>
      </c>
      <c r="H50" s="152">
        <v>0</v>
      </c>
      <c r="I50" s="156">
        <v>7730</v>
      </c>
      <c r="J50" s="150">
        <v>576000500</v>
      </c>
      <c r="K50" s="109">
        <v>43110</v>
      </c>
      <c r="L50" s="109">
        <v>43110</v>
      </c>
    </row>
    <row r="51" spans="1:12" ht="23.25" customHeight="1" x14ac:dyDescent="0.25">
      <c r="A51" s="151">
        <f t="shared" si="0"/>
        <v>427</v>
      </c>
      <c r="B51" s="111" t="s">
        <v>196</v>
      </c>
      <c r="C51" s="126">
        <v>860401674</v>
      </c>
      <c r="D51" s="116">
        <v>43078</v>
      </c>
      <c r="E51" s="112" t="s">
        <v>197</v>
      </c>
      <c r="F51" s="144">
        <v>297017</v>
      </c>
      <c r="G51" s="126">
        <v>378817</v>
      </c>
      <c r="H51" s="152">
        <v>0</v>
      </c>
      <c r="I51" s="190">
        <v>40309</v>
      </c>
      <c r="J51" s="150">
        <v>1818684</v>
      </c>
      <c r="K51" s="109">
        <v>43110</v>
      </c>
      <c r="L51" s="109">
        <v>43110</v>
      </c>
    </row>
    <row r="52" spans="1:12" ht="23.25" customHeight="1" x14ac:dyDescent="0.25">
      <c r="A52" s="151">
        <f t="shared" si="0"/>
        <v>428</v>
      </c>
      <c r="B52" s="111" t="s">
        <v>198</v>
      </c>
      <c r="C52" s="126">
        <v>800223867</v>
      </c>
      <c r="D52" s="127">
        <v>43080</v>
      </c>
      <c r="E52" s="112" t="s">
        <v>199</v>
      </c>
      <c r="F52" s="144">
        <v>192317</v>
      </c>
      <c r="G52" s="126">
        <v>378917</v>
      </c>
      <c r="H52" s="168">
        <v>48845189</v>
      </c>
      <c r="I52" s="178">
        <v>1761</v>
      </c>
      <c r="J52" s="173">
        <v>293398815.60000002</v>
      </c>
      <c r="K52" s="109">
        <v>43110</v>
      </c>
      <c r="L52" s="109">
        <v>43110</v>
      </c>
    </row>
    <row r="53" spans="1:12" ht="23.25" customHeight="1" x14ac:dyDescent="0.25">
      <c r="A53" s="151">
        <f t="shared" si="0"/>
        <v>429</v>
      </c>
      <c r="B53" s="197" t="s">
        <v>200</v>
      </c>
      <c r="C53" s="126">
        <v>800199498</v>
      </c>
      <c r="D53" s="127">
        <v>43080</v>
      </c>
      <c r="E53" s="197" t="s">
        <v>201</v>
      </c>
      <c r="F53" s="140">
        <v>192417</v>
      </c>
      <c r="G53" s="139">
        <v>379017</v>
      </c>
      <c r="H53" s="168"/>
      <c r="I53" s="178">
        <v>38164</v>
      </c>
      <c r="J53" s="198">
        <v>30631542.48</v>
      </c>
      <c r="K53" s="109">
        <v>43110</v>
      </c>
      <c r="L53" s="109">
        <v>43110</v>
      </c>
    </row>
    <row r="54" spans="1:12" ht="23.25" customHeight="1" x14ac:dyDescent="0.25">
      <c r="A54" s="151">
        <f t="shared" si="0"/>
        <v>430</v>
      </c>
      <c r="B54" s="111" t="s">
        <v>149</v>
      </c>
      <c r="C54" s="126">
        <v>900618495</v>
      </c>
      <c r="D54" s="127">
        <v>43080</v>
      </c>
      <c r="E54" s="112" t="s">
        <v>150</v>
      </c>
      <c r="F54" s="144">
        <v>283917</v>
      </c>
      <c r="G54" s="139">
        <v>379217</v>
      </c>
      <c r="H54" s="168">
        <v>0</v>
      </c>
      <c r="I54" s="153">
        <v>108</v>
      </c>
      <c r="J54" s="173">
        <v>39495798.32</v>
      </c>
      <c r="K54" s="109">
        <v>43110</v>
      </c>
      <c r="L54" s="109">
        <v>43110</v>
      </c>
    </row>
    <row r="55" spans="1:12" ht="23.25" customHeight="1" x14ac:dyDescent="0.25">
      <c r="A55" s="151">
        <f t="shared" si="0"/>
        <v>431</v>
      </c>
      <c r="B55" s="118" t="s">
        <v>202</v>
      </c>
      <c r="C55" s="134">
        <v>899999044</v>
      </c>
      <c r="D55" s="127">
        <v>43080</v>
      </c>
      <c r="E55" s="58" t="s">
        <v>66</v>
      </c>
      <c r="F55" s="144">
        <v>32717</v>
      </c>
      <c r="G55" s="139">
        <v>379417</v>
      </c>
      <c r="H55" s="152">
        <v>0</v>
      </c>
      <c r="I55" s="171" t="s">
        <v>67</v>
      </c>
      <c r="J55" s="154">
        <v>509617316.88</v>
      </c>
      <c r="K55" s="109">
        <v>43112</v>
      </c>
      <c r="L55" s="109">
        <v>43112</v>
      </c>
    </row>
    <row r="56" spans="1:12" ht="23.25" customHeight="1" x14ac:dyDescent="0.25">
      <c r="A56" s="151">
        <f t="shared" si="0"/>
        <v>432</v>
      </c>
      <c r="B56" s="111" t="s">
        <v>203</v>
      </c>
      <c r="C56" s="126">
        <v>800132210</v>
      </c>
      <c r="D56" s="127">
        <v>43080</v>
      </c>
      <c r="E56" s="112" t="s">
        <v>204</v>
      </c>
      <c r="F56" s="144">
        <v>309517</v>
      </c>
      <c r="G56" s="139">
        <v>379517</v>
      </c>
      <c r="H56" s="168">
        <v>0</v>
      </c>
      <c r="I56" s="178">
        <v>110030</v>
      </c>
      <c r="J56" s="173">
        <v>182662126.78</v>
      </c>
      <c r="K56" s="109">
        <v>43110</v>
      </c>
      <c r="L56" s="109">
        <v>43110</v>
      </c>
    </row>
    <row r="57" spans="1:12" ht="23.25" customHeight="1" x14ac:dyDescent="0.25">
      <c r="A57" s="151">
        <f t="shared" si="0"/>
        <v>433</v>
      </c>
      <c r="B57" s="111" t="s">
        <v>205</v>
      </c>
      <c r="C57" s="135">
        <v>860007378</v>
      </c>
      <c r="D57" s="127">
        <v>43080</v>
      </c>
      <c r="E57" s="112" t="s">
        <v>206</v>
      </c>
      <c r="F57" s="144">
        <v>298417</v>
      </c>
      <c r="G57" s="139">
        <v>379617</v>
      </c>
      <c r="H57" s="168">
        <v>0</v>
      </c>
      <c r="I57" s="178">
        <v>233627</v>
      </c>
      <c r="J57" s="150">
        <v>7145400</v>
      </c>
      <c r="K57" s="109">
        <v>43110</v>
      </c>
      <c r="L57" s="109">
        <v>43110</v>
      </c>
    </row>
    <row r="58" spans="1:12" ht="23.25" customHeight="1" x14ac:dyDescent="0.25">
      <c r="A58" s="151">
        <f t="shared" si="0"/>
        <v>434</v>
      </c>
      <c r="B58" s="199" t="s">
        <v>207</v>
      </c>
      <c r="C58" s="200">
        <v>800212285</v>
      </c>
      <c r="D58" s="161">
        <v>43081</v>
      </c>
      <c r="E58" s="160" t="s">
        <v>208</v>
      </c>
      <c r="F58" s="201">
        <v>249917</v>
      </c>
      <c r="G58" s="160">
        <v>380517</v>
      </c>
      <c r="H58" s="163">
        <v>99390772.269999996</v>
      </c>
      <c r="I58" s="202" t="s">
        <v>209</v>
      </c>
      <c r="J58" s="203"/>
      <c r="K58" s="204"/>
      <c r="L58" s="204"/>
    </row>
    <row r="59" spans="1:12" ht="23.25" customHeight="1" x14ac:dyDescent="0.25">
      <c r="A59" s="151">
        <f t="shared" si="0"/>
        <v>435</v>
      </c>
      <c r="B59" s="142" t="s">
        <v>210</v>
      </c>
      <c r="C59" s="147">
        <v>900024202</v>
      </c>
      <c r="D59" s="127">
        <v>43081</v>
      </c>
      <c r="E59" s="135" t="s">
        <v>211</v>
      </c>
      <c r="F59" s="144">
        <v>278417</v>
      </c>
      <c r="G59" s="126">
        <v>380617</v>
      </c>
      <c r="H59" s="152">
        <v>9283797.3399999999</v>
      </c>
      <c r="I59" s="178">
        <v>8477</v>
      </c>
      <c r="J59" s="154">
        <v>58145888.619999997</v>
      </c>
      <c r="K59" s="109">
        <v>43101</v>
      </c>
      <c r="L59" s="109">
        <v>43101</v>
      </c>
    </row>
    <row r="60" spans="1:12" ht="23.25" customHeight="1" x14ac:dyDescent="0.25">
      <c r="A60" s="151">
        <f t="shared" si="0"/>
        <v>436</v>
      </c>
      <c r="B60" s="140" t="s">
        <v>118</v>
      </c>
      <c r="C60" s="140">
        <v>900062917</v>
      </c>
      <c r="D60" s="127">
        <v>43081</v>
      </c>
      <c r="E60" s="126" t="s">
        <v>119</v>
      </c>
      <c r="F60" s="140">
        <v>189517</v>
      </c>
      <c r="G60" s="139">
        <v>380717</v>
      </c>
      <c r="H60" s="168">
        <v>0</v>
      </c>
      <c r="I60" s="156">
        <v>38396</v>
      </c>
      <c r="J60" s="154">
        <v>49096750</v>
      </c>
      <c r="K60" s="109">
        <v>43110</v>
      </c>
      <c r="L60" s="109">
        <v>43110</v>
      </c>
    </row>
    <row r="61" spans="1:12" ht="23.25" customHeight="1" x14ac:dyDescent="0.25">
      <c r="A61" s="151">
        <f t="shared" si="0"/>
        <v>437</v>
      </c>
      <c r="B61" s="126" t="s">
        <v>212</v>
      </c>
      <c r="C61" s="126">
        <v>900452118</v>
      </c>
      <c r="D61" s="127">
        <v>43081</v>
      </c>
      <c r="E61" s="177" t="s">
        <v>213</v>
      </c>
      <c r="F61" s="126">
        <v>255817</v>
      </c>
      <c r="G61" s="126">
        <v>380817</v>
      </c>
      <c r="H61" s="152">
        <v>2105129</v>
      </c>
      <c r="I61" s="190">
        <v>194</v>
      </c>
      <c r="J61" s="154">
        <v>13184758</v>
      </c>
      <c r="K61" s="109">
        <v>43110</v>
      </c>
      <c r="L61" s="109">
        <v>43110</v>
      </c>
    </row>
    <row r="62" spans="1:12" ht="23.25" customHeight="1" x14ac:dyDescent="0.25">
      <c r="A62" s="151">
        <f t="shared" si="0"/>
        <v>438</v>
      </c>
      <c r="B62" s="133" t="s">
        <v>132</v>
      </c>
      <c r="C62" s="126">
        <v>830095213</v>
      </c>
      <c r="D62" s="127">
        <v>43081</v>
      </c>
      <c r="E62" s="157" t="s">
        <v>133</v>
      </c>
      <c r="F62" s="126">
        <v>237517</v>
      </c>
      <c r="G62" s="126">
        <v>381017</v>
      </c>
      <c r="H62" s="152"/>
      <c r="I62" s="153" t="s">
        <v>68</v>
      </c>
      <c r="J62" s="167">
        <v>798966413</v>
      </c>
      <c r="K62" s="102">
        <v>43110</v>
      </c>
      <c r="L62" s="102">
        <v>43110</v>
      </c>
    </row>
    <row r="63" spans="1:12" ht="23.25" customHeight="1" x14ac:dyDescent="0.25">
      <c r="A63" s="151">
        <f t="shared" si="0"/>
        <v>439</v>
      </c>
      <c r="B63" s="111" t="s">
        <v>85</v>
      </c>
      <c r="C63" s="126">
        <v>901098940</v>
      </c>
      <c r="D63" s="127">
        <v>43081</v>
      </c>
      <c r="E63" s="112" t="s">
        <v>86</v>
      </c>
      <c r="F63" s="119">
        <v>214717</v>
      </c>
      <c r="G63" s="126">
        <v>381117</v>
      </c>
      <c r="H63" s="152">
        <v>498913947.75999999</v>
      </c>
      <c r="I63" s="190">
        <v>1</v>
      </c>
      <c r="J63" s="150">
        <v>1886327520</v>
      </c>
      <c r="K63" s="109">
        <v>43110</v>
      </c>
      <c r="L63" s="109">
        <v>43110</v>
      </c>
    </row>
    <row r="64" spans="1:12" ht="23.25" customHeight="1" x14ac:dyDescent="0.25">
      <c r="A64" s="151">
        <f t="shared" si="0"/>
        <v>440</v>
      </c>
      <c r="B64" s="126" t="s">
        <v>54</v>
      </c>
      <c r="C64" s="134">
        <v>52867178</v>
      </c>
      <c r="D64" s="127">
        <v>43081</v>
      </c>
      <c r="E64" s="145" t="s">
        <v>55</v>
      </c>
      <c r="F64" s="126">
        <v>132717</v>
      </c>
      <c r="G64" s="126">
        <v>381317</v>
      </c>
      <c r="H64" s="168">
        <v>0</v>
      </c>
      <c r="I64" s="176">
        <v>142</v>
      </c>
      <c r="J64" s="170">
        <v>7346700</v>
      </c>
      <c r="K64" s="109">
        <v>43110</v>
      </c>
      <c r="L64" s="109">
        <v>43110</v>
      </c>
    </row>
    <row r="65" spans="1:12" ht="23.25" customHeight="1" x14ac:dyDescent="0.25">
      <c r="A65" s="151">
        <f t="shared" si="0"/>
        <v>441</v>
      </c>
      <c r="B65" s="126" t="s">
        <v>40</v>
      </c>
      <c r="C65" s="126">
        <v>800147578</v>
      </c>
      <c r="D65" s="127">
        <v>43081</v>
      </c>
      <c r="E65" s="145" t="s">
        <v>41</v>
      </c>
      <c r="F65" s="126">
        <v>74517</v>
      </c>
      <c r="G65" s="126">
        <v>381417</v>
      </c>
      <c r="H65" s="172">
        <v>8212808</v>
      </c>
      <c r="I65" s="156" t="s">
        <v>214</v>
      </c>
      <c r="J65" s="158">
        <f>51438115</f>
        <v>51438115</v>
      </c>
      <c r="K65" s="109">
        <v>43110</v>
      </c>
      <c r="L65" s="109">
        <v>43110</v>
      </c>
    </row>
    <row r="66" spans="1:12" ht="23.25" customHeight="1" x14ac:dyDescent="0.25">
      <c r="A66" s="205">
        <f>A65+1</f>
        <v>442</v>
      </c>
      <c r="B66" s="126" t="s">
        <v>215</v>
      </c>
      <c r="C66" s="126">
        <v>800141397</v>
      </c>
      <c r="D66" s="127">
        <v>43081</v>
      </c>
      <c r="E66" s="126" t="s">
        <v>215</v>
      </c>
      <c r="F66" s="126">
        <v>335217</v>
      </c>
      <c r="G66" s="126">
        <v>381517</v>
      </c>
      <c r="H66" s="152">
        <v>0</v>
      </c>
      <c r="I66" s="206" t="s">
        <v>216</v>
      </c>
      <c r="J66" s="158">
        <v>951172200</v>
      </c>
      <c r="K66" s="102">
        <v>43110</v>
      </c>
      <c r="L66" s="102">
        <v>43110</v>
      </c>
    </row>
    <row r="67" spans="1:12" ht="23.25" customHeight="1" x14ac:dyDescent="0.25">
      <c r="A67" s="205">
        <f t="shared" ref="A67:A121" si="1">A66+1</f>
        <v>443</v>
      </c>
      <c r="B67" s="126" t="s">
        <v>217</v>
      </c>
      <c r="C67" s="134">
        <v>830023735</v>
      </c>
      <c r="D67" s="127">
        <v>43082</v>
      </c>
      <c r="E67" s="132" t="s">
        <v>218</v>
      </c>
      <c r="F67" s="126">
        <v>150117</v>
      </c>
      <c r="G67" s="139">
        <v>383517</v>
      </c>
      <c r="H67" s="168">
        <v>3831932.77</v>
      </c>
      <c r="I67" s="178">
        <v>1454</v>
      </c>
      <c r="J67" s="170">
        <v>24000000</v>
      </c>
      <c r="K67" s="102">
        <v>43110</v>
      </c>
      <c r="L67" s="102">
        <v>43110</v>
      </c>
    </row>
    <row r="68" spans="1:12" ht="23.25" customHeight="1" x14ac:dyDescent="0.25">
      <c r="A68" s="205">
        <f t="shared" si="1"/>
        <v>444</v>
      </c>
      <c r="B68" s="142" t="s">
        <v>219</v>
      </c>
      <c r="C68" s="147">
        <v>800079939</v>
      </c>
      <c r="D68" s="127">
        <v>43082</v>
      </c>
      <c r="E68" s="126" t="s">
        <v>220</v>
      </c>
      <c r="F68" s="144">
        <v>283517</v>
      </c>
      <c r="G68" s="126">
        <v>383617</v>
      </c>
      <c r="H68" s="168">
        <v>8111100</v>
      </c>
      <c r="I68" s="178">
        <v>35603</v>
      </c>
      <c r="J68" s="150">
        <v>50801100</v>
      </c>
      <c r="K68" s="102">
        <v>43110</v>
      </c>
      <c r="L68" s="102">
        <v>43110</v>
      </c>
    </row>
    <row r="69" spans="1:12" ht="23.25" customHeight="1" x14ac:dyDescent="0.25">
      <c r="A69" s="205">
        <f t="shared" si="1"/>
        <v>445</v>
      </c>
      <c r="B69" s="111" t="s">
        <v>221</v>
      </c>
      <c r="C69" s="126">
        <v>860020227</v>
      </c>
      <c r="D69" s="127">
        <v>43083</v>
      </c>
      <c r="E69" s="112" t="s">
        <v>53</v>
      </c>
      <c r="F69" s="144">
        <v>326717</v>
      </c>
      <c r="G69" s="126">
        <v>383717</v>
      </c>
      <c r="H69" s="168">
        <v>349038.92</v>
      </c>
      <c r="I69" s="178">
        <v>15276</v>
      </c>
      <c r="J69" s="150">
        <v>2186085.86</v>
      </c>
      <c r="K69" s="102">
        <v>43110</v>
      </c>
      <c r="L69" s="102">
        <v>43110</v>
      </c>
    </row>
    <row r="70" spans="1:12" ht="23.25" customHeight="1" x14ac:dyDescent="0.25">
      <c r="A70" s="205">
        <f t="shared" si="1"/>
        <v>446</v>
      </c>
      <c r="B70" s="133" t="s">
        <v>88</v>
      </c>
      <c r="C70" s="177">
        <v>800103052</v>
      </c>
      <c r="D70" s="127">
        <v>43083</v>
      </c>
      <c r="E70" s="177" t="s">
        <v>89</v>
      </c>
      <c r="F70" s="118">
        <v>324417</v>
      </c>
      <c r="G70" s="126">
        <v>383817</v>
      </c>
      <c r="H70" s="168">
        <v>0</v>
      </c>
      <c r="I70" s="153">
        <v>67511</v>
      </c>
      <c r="J70" s="136">
        <v>520579184.29000002</v>
      </c>
      <c r="K70" s="102">
        <v>43110</v>
      </c>
      <c r="L70" s="102">
        <v>43110</v>
      </c>
    </row>
    <row r="71" spans="1:12" ht="23.25" customHeight="1" x14ac:dyDescent="0.25">
      <c r="A71" s="205">
        <f t="shared" si="1"/>
        <v>447</v>
      </c>
      <c r="B71" s="111" t="s">
        <v>222</v>
      </c>
      <c r="C71" s="135">
        <v>800198591</v>
      </c>
      <c r="D71" s="127">
        <v>43083</v>
      </c>
      <c r="E71" s="207" t="s">
        <v>223</v>
      </c>
      <c r="F71" s="144">
        <v>301517</v>
      </c>
      <c r="G71" s="126">
        <v>384117</v>
      </c>
      <c r="H71" s="168">
        <v>7922772</v>
      </c>
      <c r="I71" s="153">
        <v>8282</v>
      </c>
      <c r="J71" s="150">
        <v>49621572</v>
      </c>
      <c r="K71" s="102">
        <v>43110</v>
      </c>
      <c r="L71" s="102">
        <v>43110</v>
      </c>
    </row>
    <row r="72" spans="1:12" ht="23.25" customHeight="1" x14ac:dyDescent="0.25">
      <c r="A72" s="205">
        <f t="shared" si="1"/>
        <v>448</v>
      </c>
      <c r="B72" s="142" t="s">
        <v>125</v>
      </c>
      <c r="C72" s="126">
        <v>800007813</v>
      </c>
      <c r="D72" s="127">
        <v>43083</v>
      </c>
      <c r="E72" s="147" t="s">
        <v>126</v>
      </c>
      <c r="F72" s="126">
        <v>290117</v>
      </c>
      <c r="G72" s="126">
        <v>384217</v>
      </c>
      <c r="H72" s="168">
        <v>0</v>
      </c>
      <c r="I72" s="153">
        <v>9117012448</v>
      </c>
      <c r="J72" s="170">
        <v>108630783</v>
      </c>
      <c r="K72" s="102">
        <v>43110</v>
      </c>
      <c r="L72" s="102">
        <v>43110</v>
      </c>
    </row>
    <row r="73" spans="1:12" ht="39" customHeight="1" x14ac:dyDescent="0.25">
      <c r="A73" s="205">
        <f>A72+1</f>
        <v>449</v>
      </c>
      <c r="B73" s="208" t="s">
        <v>90</v>
      </c>
      <c r="C73" s="148">
        <v>891410137</v>
      </c>
      <c r="D73" s="127">
        <v>43083</v>
      </c>
      <c r="E73" s="148" t="s">
        <v>91</v>
      </c>
      <c r="F73" s="119">
        <v>293917</v>
      </c>
      <c r="G73" s="126">
        <v>384417</v>
      </c>
      <c r="H73" s="168"/>
      <c r="I73" s="171" t="s">
        <v>92</v>
      </c>
      <c r="J73" s="209">
        <v>311907508</v>
      </c>
      <c r="K73" s="109">
        <v>43111</v>
      </c>
      <c r="L73" s="109">
        <v>43111</v>
      </c>
    </row>
    <row r="74" spans="1:12" ht="23.25" customHeight="1" x14ac:dyDescent="0.25">
      <c r="A74" s="205">
        <f t="shared" ref="A74:A81" si="2">A73+1</f>
        <v>450</v>
      </c>
      <c r="B74" s="126" t="s">
        <v>29</v>
      </c>
      <c r="C74" s="126">
        <v>800212545</v>
      </c>
      <c r="D74" s="127">
        <v>43084</v>
      </c>
      <c r="E74" s="126" t="s">
        <v>30</v>
      </c>
      <c r="F74" s="126">
        <v>192117</v>
      </c>
      <c r="G74" s="139">
        <v>385617</v>
      </c>
      <c r="H74" s="152">
        <f>48751600+81719100</f>
        <v>130470700</v>
      </c>
      <c r="I74" s="156" t="s">
        <v>93</v>
      </c>
      <c r="J74" s="154">
        <v>1163762511</v>
      </c>
      <c r="K74" s="102">
        <v>43111</v>
      </c>
      <c r="L74" s="102">
        <v>43111</v>
      </c>
    </row>
    <row r="75" spans="1:12" ht="35.25" customHeight="1" x14ac:dyDescent="0.25">
      <c r="A75" s="205">
        <f t="shared" si="2"/>
        <v>451</v>
      </c>
      <c r="B75" s="210" t="s">
        <v>224</v>
      </c>
      <c r="C75" s="211">
        <v>860034604</v>
      </c>
      <c r="D75" s="121">
        <v>43084</v>
      </c>
      <c r="E75" s="212" t="s">
        <v>115</v>
      </c>
      <c r="F75" s="213">
        <v>304217</v>
      </c>
      <c r="G75" s="211">
        <v>386117</v>
      </c>
      <c r="H75" s="214"/>
      <c r="I75" s="171" t="s">
        <v>225</v>
      </c>
      <c r="J75" s="215">
        <v>20472621.539999999</v>
      </c>
      <c r="K75" s="109">
        <v>43111</v>
      </c>
      <c r="L75" s="109">
        <v>43111</v>
      </c>
    </row>
    <row r="76" spans="1:12" ht="23.25" customHeight="1" x14ac:dyDescent="0.25">
      <c r="A76" s="205">
        <f t="shared" si="2"/>
        <v>452</v>
      </c>
      <c r="B76" s="111" t="s">
        <v>226</v>
      </c>
      <c r="C76" s="126">
        <v>800199498</v>
      </c>
      <c r="D76" s="121">
        <v>43084</v>
      </c>
      <c r="E76" s="112" t="s">
        <v>227</v>
      </c>
      <c r="F76" s="144">
        <v>303217</v>
      </c>
      <c r="G76" s="126">
        <v>387117</v>
      </c>
      <c r="H76" s="152">
        <v>16719000</v>
      </c>
      <c r="I76" s="153">
        <v>38294</v>
      </c>
      <c r="J76" s="215">
        <v>104712750</v>
      </c>
      <c r="K76" s="109">
        <v>43111</v>
      </c>
      <c r="L76" s="109">
        <v>43111</v>
      </c>
    </row>
    <row r="77" spans="1:12" ht="23.25" customHeight="1" x14ac:dyDescent="0.25">
      <c r="A77" s="205">
        <f t="shared" si="2"/>
        <v>453</v>
      </c>
      <c r="B77" s="126" t="s">
        <v>228</v>
      </c>
      <c r="C77" s="126">
        <v>860351784</v>
      </c>
      <c r="D77" s="116">
        <v>43084</v>
      </c>
      <c r="E77" s="126" t="s">
        <v>229</v>
      </c>
      <c r="F77" s="126">
        <v>69117</v>
      </c>
      <c r="G77" s="126">
        <v>387217</v>
      </c>
      <c r="H77" s="152">
        <v>12250210.09</v>
      </c>
      <c r="I77" s="153">
        <v>21033</v>
      </c>
      <c r="J77" s="154">
        <v>76725000</v>
      </c>
      <c r="K77" s="109">
        <v>43111</v>
      </c>
      <c r="L77" s="109">
        <v>43111</v>
      </c>
    </row>
    <row r="78" spans="1:12" ht="23.25" customHeight="1" x14ac:dyDescent="0.25">
      <c r="A78" s="205">
        <f t="shared" si="2"/>
        <v>454</v>
      </c>
      <c r="B78" s="110" t="s">
        <v>97</v>
      </c>
      <c r="C78" s="140">
        <v>860002400</v>
      </c>
      <c r="D78" s="121">
        <v>43085</v>
      </c>
      <c r="E78" s="140" t="s">
        <v>56</v>
      </c>
      <c r="F78" s="140">
        <v>303717</v>
      </c>
      <c r="G78" s="139">
        <v>387817</v>
      </c>
      <c r="H78" s="168">
        <v>0</v>
      </c>
      <c r="I78" s="169" t="s">
        <v>98</v>
      </c>
      <c r="J78" s="170">
        <v>2764776510</v>
      </c>
      <c r="K78" s="102">
        <v>43111</v>
      </c>
      <c r="L78" s="102">
        <v>43111</v>
      </c>
    </row>
    <row r="79" spans="1:12" ht="23.25" customHeight="1" x14ac:dyDescent="0.25">
      <c r="A79" s="205">
        <f t="shared" si="2"/>
        <v>455</v>
      </c>
      <c r="B79" s="130" t="s">
        <v>94</v>
      </c>
      <c r="C79" s="126">
        <v>901037003</v>
      </c>
      <c r="D79" s="121">
        <v>43084</v>
      </c>
      <c r="E79" s="65" t="s">
        <v>95</v>
      </c>
      <c r="F79" s="126">
        <v>4917</v>
      </c>
      <c r="G79" s="128">
        <v>387417</v>
      </c>
      <c r="H79" s="172"/>
      <c r="I79" s="216" t="s">
        <v>96</v>
      </c>
      <c r="J79" s="158">
        <f>39162378.75+39162378.73</f>
        <v>78324757.479999989</v>
      </c>
      <c r="K79" s="102">
        <v>43111</v>
      </c>
      <c r="L79" s="102">
        <v>43111</v>
      </c>
    </row>
    <row r="80" spans="1:12" ht="23.25" customHeight="1" x14ac:dyDescent="0.25">
      <c r="A80" s="205">
        <f t="shared" si="2"/>
        <v>456</v>
      </c>
      <c r="B80" s="142" t="s">
        <v>230</v>
      </c>
      <c r="C80" s="126">
        <v>900654487</v>
      </c>
      <c r="D80" s="116">
        <v>43084</v>
      </c>
      <c r="E80" s="147" t="s">
        <v>231</v>
      </c>
      <c r="F80" s="144">
        <v>283217</v>
      </c>
      <c r="G80" s="128">
        <v>387317</v>
      </c>
      <c r="H80" s="217">
        <v>9147303</v>
      </c>
      <c r="I80" s="153" t="s">
        <v>232</v>
      </c>
      <c r="J80" s="158">
        <v>57291000</v>
      </c>
      <c r="K80" s="102">
        <v>43111</v>
      </c>
      <c r="L80" s="102">
        <v>43111</v>
      </c>
    </row>
    <row r="81" spans="1:12" ht="23.25" customHeight="1" x14ac:dyDescent="0.25">
      <c r="A81" s="205">
        <f t="shared" si="2"/>
        <v>457</v>
      </c>
      <c r="B81" s="218" t="s">
        <v>233</v>
      </c>
      <c r="C81" s="160">
        <v>860020227</v>
      </c>
      <c r="D81" s="219">
        <v>43084</v>
      </c>
      <c r="E81" s="159" t="s">
        <v>53</v>
      </c>
      <c r="F81" s="160">
        <v>283417</v>
      </c>
      <c r="G81" s="160">
        <v>387617</v>
      </c>
      <c r="H81" s="220"/>
      <c r="I81" s="221" t="s">
        <v>234</v>
      </c>
      <c r="J81" s="165"/>
      <c r="K81" s="166"/>
      <c r="L81" s="166"/>
    </row>
    <row r="82" spans="1:12" ht="23.25" customHeight="1" x14ac:dyDescent="0.25">
      <c r="A82" s="205">
        <f t="shared" si="1"/>
        <v>458</v>
      </c>
      <c r="B82" s="222" t="s">
        <v>134</v>
      </c>
      <c r="C82" s="126">
        <v>830032436</v>
      </c>
      <c r="D82" s="116">
        <v>43085</v>
      </c>
      <c r="E82" s="177" t="s">
        <v>135</v>
      </c>
      <c r="F82" s="126">
        <v>257417</v>
      </c>
      <c r="G82" s="126">
        <v>361417</v>
      </c>
      <c r="H82" s="152"/>
      <c r="I82" s="153">
        <v>73858</v>
      </c>
      <c r="J82" s="158">
        <v>8180000</v>
      </c>
      <c r="K82" s="102">
        <v>43111</v>
      </c>
      <c r="L82" s="102">
        <v>43111</v>
      </c>
    </row>
    <row r="83" spans="1:12" ht="23.25" customHeight="1" x14ac:dyDescent="0.25">
      <c r="A83" s="205">
        <f t="shared" si="1"/>
        <v>459</v>
      </c>
      <c r="B83" s="111" t="s">
        <v>143</v>
      </c>
      <c r="C83" s="126">
        <v>860020227</v>
      </c>
      <c r="D83" s="116">
        <v>43085</v>
      </c>
      <c r="E83" s="112" t="s">
        <v>53</v>
      </c>
      <c r="F83" s="144">
        <v>147617</v>
      </c>
      <c r="G83" s="128">
        <v>387717</v>
      </c>
      <c r="H83" s="152">
        <f>81847.05+34051.83+75668.22+11649.72+3739.01</f>
        <v>206955.83000000002</v>
      </c>
      <c r="I83" s="156" t="s">
        <v>235</v>
      </c>
      <c r="J83" s="158">
        <f>51774721+21540472+47866122+7369364.01+2365218</f>
        <v>130915897.01000001</v>
      </c>
      <c r="K83" s="102">
        <v>43111</v>
      </c>
      <c r="L83" s="102">
        <v>43111</v>
      </c>
    </row>
    <row r="84" spans="1:12" ht="23.25" customHeight="1" x14ac:dyDescent="0.25">
      <c r="A84" s="223">
        <f t="shared" si="1"/>
        <v>460</v>
      </c>
      <c r="B84" s="120" t="s">
        <v>90</v>
      </c>
      <c r="C84" s="122">
        <v>891410137</v>
      </c>
      <c r="D84" s="116">
        <v>43085</v>
      </c>
      <c r="E84" s="122" t="s">
        <v>91</v>
      </c>
      <c r="F84" s="119">
        <v>293917</v>
      </c>
      <c r="G84" s="126">
        <v>388017</v>
      </c>
      <c r="H84" s="168"/>
      <c r="I84" s="171" t="s">
        <v>99</v>
      </c>
      <c r="J84" s="158">
        <v>209181056.33000001</v>
      </c>
      <c r="K84" s="109">
        <v>43111</v>
      </c>
      <c r="L84" s="109">
        <v>43111</v>
      </c>
    </row>
    <row r="85" spans="1:12" ht="23.25" customHeight="1" x14ac:dyDescent="0.25">
      <c r="A85" s="223">
        <f t="shared" si="1"/>
        <v>461</v>
      </c>
      <c r="B85" s="111" t="s">
        <v>100</v>
      </c>
      <c r="C85" s="126">
        <v>901090298</v>
      </c>
      <c r="D85" s="116">
        <v>43085</v>
      </c>
      <c r="E85" s="111" t="s">
        <v>101</v>
      </c>
      <c r="F85" s="119">
        <v>189817</v>
      </c>
      <c r="G85" s="126">
        <v>389017</v>
      </c>
      <c r="H85" s="152">
        <v>11333556</v>
      </c>
      <c r="I85" s="216" t="s">
        <v>181</v>
      </c>
      <c r="J85" s="158">
        <v>222950</v>
      </c>
      <c r="K85" s="109">
        <v>43111</v>
      </c>
      <c r="L85" s="109">
        <v>43111</v>
      </c>
    </row>
    <row r="86" spans="1:12" ht="23.25" customHeight="1" x14ac:dyDescent="0.25">
      <c r="A86" s="223">
        <f t="shared" si="1"/>
        <v>462</v>
      </c>
      <c r="B86" s="120" t="s">
        <v>102</v>
      </c>
      <c r="C86" s="126">
        <v>830023178</v>
      </c>
      <c r="D86" s="116">
        <v>43085</v>
      </c>
      <c r="E86" s="122" t="s">
        <v>60</v>
      </c>
      <c r="F86" s="119">
        <v>301117</v>
      </c>
      <c r="G86" s="126">
        <v>389317</v>
      </c>
      <c r="H86" s="152"/>
      <c r="I86" s="153" t="s">
        <v>103</v>
      </c>
      <c r="J86" s="158">
        <v>434743</v>
      </c>
      <c r="K86" s="109">
        <v>43111</v>
      </c>
      <c r="L86" s="109">
        <v>43111</v>
      </c>
    </row>
    <row r="87" spans="1:12" ht="23.25" customHeight="1" x14ac:dyDescent="0.25">
      <c r="A87" s="223">
        <f t="shared" si="1"/>
        <v>463</v>
      </c>
      <c r="B87" s="142" t="s">
        <v>236</v>
      </c>
      <c r="C87" s="126">
        <v>900127140</v>
      </c>
      <c r="D87" s="116">
        <v>43087</v>
      </c>
      <c r="E87" s="147" t="s">
        <v>183</v>
      </c>
      <c r="F87" s="144">
        <v>288517</v>
      </c>
      <c r="G87" s="126">
        <v>404117</v>
      </c>
      <c r="H87" s="224">
        <v>0</v>
      </c>
      <c r="I87" s="153">
        <v>13598</v>
      </c>
      <c r="J87" s="225">
        <v>1985475000</v>
      </c>
      <c r="K87" s="109">
        <v>43111</v>
      </c>
      <c r="L87" s="109">
        <v>43111</v>
      </c>
    </row>
    <row r="88" spans="1:12" ht="23.25" customHeight="1" x14ac:dyDescent="0.25">
      <c r="A88" s="223">
        <f t="shared" si="1"/>
        <v>464</v>
      </c>
      <c r="B88" s="120" t="s">
        <v>237</v>
      </c>
      <c r="C88" s="126">
        <v>830040391</v>
      </c>
      <c r="D88" s="127">
        <v>43088</v>
      </c>
      <c r="E88" s="122" t="s">
        <v>238</v>
      </c>
      <c r="F88" s="144">
        <v>305717</v>
      </c>
      <c r="G88" s="126">
        <v>404217</v>
      </c>
      <c r="H88" s="152">
        <v>0</v>
      </c>
      <c r="I88" s="153">
        <v>130</v>
      </c>
      <c r="J88" s="209">
        <v>251418910</v>
      </c>
      <c r="K88" s="102">
        <v>43111</v>
      </c>
      <c r="L88" s="102">
        <v>43111</v>
      </c>
    </row>
    <row r="89" spans="1:12" ht="23.25" customHeight="1" x14ac:dyDescent="0.25">
      <c r="A89" s="223">
        <f t="shared" si="1"/>
        <v>465</v>
      </c>
      <c r="B89" s="120" t="s">
        <v>239</v>
      </c>
      <c r="C89" s="126">
        <v>901123746</v>
      </c>
      <c r="D89" s="127">
        <v>43087</v>
      </c>
      <c r="E89" s="122" t="s">
        <v>104</v>
      </c>
      <c r="F89" s="119">
        <v>296817</v>
      </c>
      <c r="G89" s="126">
        <v>382717</v>
      </c>
      <c r="H89" s="152"/>
      <c r="I89" s="153" t="s">
        <v>105</v>
      </c>
      <c r="J89" s="209">
        <f>1069464190.94+898315913</f>
        <v>1967780103.9400001</v>
      </c>
      <c r="K89" s="109">
        <v>43111</v>
      </c>
      <c r="L89" s="109">
        <v>43111</v>
      </c>
    </row>
    <row r="90" spans="1:12" ht="23.25" customHeight="1" x14ac:dyDescent="0.25">
      <c r="A90" s="223">
        <f t="shared" si="1"/>
        <v>466</v>
      </c>
      <c r="B90" s="126" t="s">
        <v>217</v>
      </c>
      <c r="C90" s="134">
        <v>830023735</v>
      </c>
      <c r="D90" s="127">
        <v>43087</v>
      </c>
      <c r="E90" s="132" t="s">
        <v>218</v>
      </c>
      <c r="F90" s="126">
        <v>150117</v>
      </c>
      <c r="G90" s="139">
        <v>405117</v>
      </c>
      <c r="H90" s="168">
        <v>5109243.7</v>
      </c>
      <c r="I90" s="153">
        <v>1455</v>
      </c>
      <c r="J90" s="170">
        <v>32000000</v>
      </c>
      <c r="K90" s="109">
        <v>43112</v>
      </c>
      <c r="L90" s="109">
        <v>43112</v>
      </c>
    </row>
    <row r="91" spans="1:12" ht="23.25" customHeight="1" x14ac:dyDescent="0.25">
      <c r="A91" s="223">
        <f t="shared" si="1"/>
        <v>467</v>
      </c>
      <c r="B91" s="142" t="s">
        <v>240</v>
      </c>
      <c r="C91" s="126">
        <v>805006278</v>
      </c>
      <c r="D91" s="127">
        <v>43087</v>
      </c>
      <c r="E91" s="147" t="s">
        <v>241</v>
      </c>
      <c r="F91" s="144">
        <v>276717</v>
      </c>
      <c r="G91" s="126">
        <v>405217</v>
      </c>
      <c r="H91" s="152">
        <v>15286857.140000001</v>
      </c>
      <c r="I91" s="153">
        <v>1610</v>
      </c>
      <c r="J91" s="150">
        <v>95744000</v>
      </c>
      <c r="K91" s="109">
        <v>43112</v>
      </c>
      <c r="L91" s="109">
        <v>43112</v>
      </c>
    </row>
    <row r="92" spans="1:12" ht="23.25" customHeight="1" x14ac:dyDescent="0.25">
      <c r="A92" s="223">
        <f t="shared" si="1"/>
        <v>468</v>
      </c>
      <c r="B92" s="111" t="s">
        <v>242</v>
      </c>
      <c r="C92" s="126">
        <v>900132193</v>
      </c>
      <c r="D92" s="127">
        <v>43087</v>
      </c>
      <c r="E92" s="112" t="s">
        <v>243</v>
      </c>
      <c r="F92" s="144">
        <v>325217</v>
      </c>
      <c r="G92" s="126">
        <v>405317</v>
      </c>
      <c r="H92" s="152">
        <v>53557557.32</v>
      </c>
      <c r="I92" s="153">
        <v>42</v>
      </c>
      <c r="J92" s="150">
        <v>335439437.93000001</v>
      </c>
      <c r="K92" s="109">
        <v>43112</v>
      </c>
      <c r="L92" s="109">
        <v>43112</v>
      </c>
    </row>
    <row r="93" spans="1:12" ht="23.25" customHeight="1" x14ac:dyDescent="0.25">
      <c r="A93" s="223">
        <f t="shared" si="1"/>
        <v>469</v>
      </c>
      <c r="B93" s="126" t="s">
        <v>244</v>
      </c>
      <c r="C93" s="134">
        <v>16628656</v>
      </c>
      <c r="D93" s="127">
        <v>43087</v>
      </c>
      <c r="E93" s="145" t="s">
        <v>245</v>
      </c>
      <c r="F93" s="126">
        <v>215617</v>
      </c>
      <c r="G93" s="126">
        <v>406717</v>
      </c>
      <c r="H93" s="172">
        <v>1113927.08</v>
      </c>
      <c r="I93" s="171" t="s">
        <v>246</v>
      </c>
      <c r="J93" s="170">
        <f>147823986.64-29564797.32</f>
        <v>118259189.31999999</v>
      </c>
      <c r="K93" s="109">
        <v>43112</v>
      </c>
      <c r="L93" s="109">
        <v>43112</v>
      </c>
    </row>
    <row r="94" spans="1:12" ht="23.25" customHeight="1" x14ac:dyDescent="0.25">
      <c r="A94" s="205">
        <f t="shared" si="1"/>
        <v>470</v>
      </c>
      <c r="B94" s="226" t="s">
        <v>247</v>
      </c>
      <c r="C94" s="227">
        <v>901124184</v>
      </c>
      <c r="D94" s="146">
        <v>43088</v>
      </c>
      <c r="E94" s="123" t="s">
        <v>248</v>
      </c>
      <c r="F94" s="149">
        <v>296917</v>
      </c>
      <c r="G94" s="126">
        <v>407017</v>
      </c>
      <c r="H94" s="228"/>
      <c r="I94" s="229" t="s">
        <v>249</v>
      </c>
      <c r="J94" s="230">
        <v>2300483285.4400001</v>
      </c>
      <c r="K94" s="109">
        <v>43112</v>
      </c>
      <c r="L94" s="109">
        <v>43112</v>
      </c>
    </row>
    <row r="95" spans="1:12" ht="23.25" customHeight="1" x14ac:dyDescent="0.25">
      <c r="A95" s="205">
        <f t="shared" si="1"/>
        <v>471</v>
      </c>
      <c r="B95" s="126" t="s">
        <v>140</v>
      </c>
      <c r="C95" s="126">
        <v>901094951</v>
      </c>
      <c r="D95" s="127">
        <v>43088</v>
      </c>
      <c r="E95" s="126" t="s">
        <v>141</v>
      </c>
      <c r="F95" s="126">
        <v>199917</v>
      </c>
      <c r="G95" s="139">
        <v>407217</v>
      </c>
      <c r="H95" s="168">
        <v>0</v>
      </c>
      <c r="I95" s="153" t="s">
        <v>250</v>
      </c>
      <c r="J95" s="170">
        <f>(144074670.54-666483.7)+37187200.61</f>
        <v>180595387.44999999</v>
      </c>
      <c r="K95" s="109">
        <v>43112</v>
      </c>
      <c r="L95" s="109">
        <v>43112</v>
      </c>
    </row>
    <row r="96" spans="1:12" ht="23.25" customHeight="1" x14ac:dyDescent="0.25">
      <c r="A96" s="205">
        <f t="shared" si="1"/>
        <v>472</v>
      </c>
      <c r="B96" s="111" t="s">
        <v>251</v>
      </c>
      <c r="C96" s="135">
        <v>900965260</v>
      </c>
      <c r="D96" s="127">
        <v>43088</v>
      </c>
      <c r="E96" s="112" t="s">
        <v>252</v>
      </c>
      <c r="F96" s="144">
        <v>305217</v>
      </c>
      <c r="G96" s="231">
        <v>407317</v>
      </c>
      <c r="H96" s="232">
        <v>11334059</v>
      </c>
      <c r="I96" s="233" t="s">
        <v>253</v>
      </c>
      <c r="J96" s="209">
        <v>70987000</v>
      </c>
      <c r="K96" s="109">
        <v>43112</v>
      </c>
      <c r="L96" s="109">
        <v>43112</v>
      </c>
    </row>
    <row r="97" spans="1:12" ht="23.25" customHeight="1" x14ac:dyDescent="0.25">
      <c r="A97" s="385">
        <f t="shared" si="1"/>
        <v>473</v>
      </c>
      <c r="B97" s="105" t="s">
        <v>77</v>
      </c>
      <c r="C97" s="388">
        <v>860067479</v>
      </c>
      <c r="D97" s="127">
        <v>43088</v>
      </c>
      <c r="E97" s="390" t="s">
        <v>78</v>
      </c>
      <c r="F97" s="140">
        <v>103517</v>
      </c>
      <c r="G97" s="139">
        <v>407417</v>
      </c>
      <c r="H97" s="168">
        <f>2043372.02+262752.46+337362.15</f>
        <v>2643486.63</v>
      </c>
      <c r="I97" s="169" t="s">
        <v>254</v>
      </c>
      <c r="J97" s="170">
        <f>64075493.64+6123338.75+15526567.11+5017901.29</f>
        <v>90743300.790000007</v>
      </c>
      <c r="K97" s="109">
        <v>43112</v>
      </c>
      <c r="L97" s="109">
        <v>43112</v>
      </c>
    </row>
    <row r="98" spans="1:12" ht="23.25" customHeight="1" x14ac:dyDescent="0.25">
      <c r="A98" s="387"/>
      <c r="B98" s="105" t="s">
        <v>255</v>
      </c>
      <c r="C98" s="389"/>
      <c r="D98" s="127">
        <v>43088</v>
      </c>
      <c r="E98" s="391"/>
      <c r="F98" s="140">
        <v>189717</v>
      </c>
      <c r="G98" s="139">
        <v>407617</v>
      </c>
      <c r="H98" s="168"/>
      <c r="I98" s="169" t="s">
        <v>256</v>
      </c>
      <c r="J98" s="175">
        <f>14230120.16+18270823.68+14737334.71</f>
        <v>47238278.549999997</v>
      </c>
      <c r="K98" s="109">
        <v>43112</v>
      </c>
      <c r="L98" s="109">
        <v>43112</v>
      </c>
    </row>
    <row r="99" spans="1:12" ht="23.25" customHeight="1" x14ac:dyDescent="0.25">
      <c r="A99" s="223">
        <f>A97+1</f>
        <v>474</v>
      </c>
      <c r="B99" s="142" t="s">
        <v>257</v>
      </c>
      <c r="C99" s="126">
        <v>800179308</v>
      </c>
      <c r="D99" s="127">
        <v>43088</v>
      </c>
      <c r="E99" s="112" t="s">
        <v>258</v>
      </c>
      <c r="F99" s="144">
        <v>243117</v>
      </c>
      <c r="G99" s="139">
        <v>407717</v>
      </c>
      <c r="H99" s="152">
        <v>5627042</v>
      </c>
      <c r="I99" s="153">
        <v>1985</v>
      </c>
      <c r="J99" s="150">
        <v>35243050</v>
      </c>
      <c r="K99" s="109">
        <v>43112</v>
      </c>
      <c r="L99" s="109">
        <v>43112</v>
      </c>
    </row>
    <row r="100" spans="1:12" ht="23.25" customHeight="1" x14ac:dyDescent="0.25">
      <c r="A100" s="223">
        <f t="shared" si="1"/>
        <v>475</v>
      </c>
      <c r="B100" s="130" t="s">
        <v>259</v>
      </c>
      <c r="C100" s="126">
        <v>830073624</v>
      </c>
      <c r="D100" s="127">
        <v>43088</v>
      </c>
      <c r="E100" s="126" t="s">
        <v>260</v>
      </c>
      <c r="F100" s="128">
        <v>158717</v>
      </c>
      <c r="G100" s="128">
        <v>407817</v>
      </c>
      <c r="H100" s="172">
        <v>1235000</v>
      </c>
      <c r="I100" s="171">
        <v>1617</v>
      </c>
      <c r="J100" s="158">
        <v>7735000</v>
      </c>
      <c r="K100" s="102">
        <v>43112</v>
      </c>
      <c r="L100" s="102">
        <v>43112</v>
      </c>
    </row>
    <row r="101" spans="1:12" ht="23.25" customHeight="1" x14ac:dyDescent="0.25">
      <c r="A101" s="223">
        <f t="shared" si="1"/>
        <v>476</v>
      </c>
      <c r="B101" s="120" t="s">
        <v>261</v>
      </c>
      <c r="C101" s="126">
        <v>830049680</v>
      </c>
      <c r="D101" s="127">
        <v>43088</v>
      </c>
      <c r="E101" s="122" t="s">
        <v>262</v>
      </c>
      <c r="F101" s="144">
        <v>248317</v>
      </c>
      <c r="G101" s="128">
        <v>407917</v>
      </c>
      <c r="H101" s="152">
        <v>0</v>
      </c>
      <c r="I101" s="153" t="s">
        <v>263</v>
      </c>
      <c r="J101" s="209">
        <v>663325740</v>
      </c>
      <c r="K101" s="102">
        <v>43112</v>
      </c>
      <c r="L101" s="102">
        <v>43112</v>
      </c>
    </row>
    <row r="102" spans="1:12" ht="23.25" customHeight="1" x14ac:dyDescent="0.25">
      <c r="A102" s="385">
        <f t="shared" si="1"/>
        <v>477</v>
      </c>
      <c r="B102" s="124" t="s">
        <v>264</v>
      </c>
      <c r="C102" s="126">
        <v>800041829</v>
      </c>
      <c r="D102" s="127">
        <v>43089</v>
      </c>
      <c r="E102" s="125" t="s">
        <v>265</v>
      </c>
      <c r="F102" s="59">
        <v>313417</v>
      </c>
      <c r="G102" s="128" t="s">
        <v>266</v>
      </c>
      <c r="H102" s="152">
        <v>0</v>
      </c>
      <c r="I102" s="384" t="s">
        <v>267</v>
      </c>
      <c r="J102" s="234">
        <v>815439776</v>
      </c>
      <c r="K102" s="235" t="s">
        <v>268</v>
      </c>
      <c r="L102" s="235" t="s">
        <v>268</v>
      </c>
    </row>
    <row r="103" spans="1:12" ht="23.25" customHeight="1" x14ac:dyDescent="0.25">
      <c r="A103" s="387"/>
      <c r="B103" s="124" t="s">
        <v>269</v>
      </c>
      <c r="C103" s="126">
        <v>800041829</v>
      </c>
      <c r="D103" s="127">
        <v>43089</v>
      </c>
      <c r="E103" s="125" t="s">
        <v>265</v>
      </c>
      <c r="F103" s="59">
        <v>331617</v>
      </c>
      <c r="G103" s="128" t="s">
        <v>270</v>
      </c>
      <c r="H103" s="152">
        <v>0</v>
      </c>
      <c r="I103" s="384"/>
      <c r="J103" s="234">
        <v>203859944</v>
      </c>
      <c r="K103" s="235" t="s">
        <v>268</v>
      </c>
      <c r="L103" s="235" t="s">
        <v>268</v>
      </c>
    </row>
    <row r="104" spans="1:12" ht="23.25" customHeight="1" x14ac:dyDescent="0.25">
      <c r="A104" s="223">
        <f>A102+1</f>
        <v>478</v>
      </c>
      <c r="B104" s="111" t="s">
        <v>271</v>
      </c>
      <c r="C104" s="126">
        <v>860020227</v>
      </c>
      <c r="D104" s="127">
        <v>43089</v>
      </c>
      <c r="E104" s="112" t="s">
        <v>53</v>
      </c>
      <c r="F104" s="144">
        <v>301617</v>
      </c>
      <c r="G104" s="126">
        <v>410017</v>
      </c>
      <c r="H104" s="217">
        <v>193015.9</v>
      </c>
      <c r="I104" s="153" t="s">
        <v>272</v>
      </c>
      <c r="J104" s="150">
        <v>1208889.05</v>
      </c>
      <c r="K104" s="102">
        <v>43117</v>
      </c>
      <c r="L104" s="102">
        <v>43117</v>
      </c>
    </row>
    <row r="105" spans="1:12" ht="42.75" customHeight="1" x14ac:dyDescent="0.25">
      <c r="A105" s="223">
        <f t="shared" si="1"/>
        <v>479</v>
      </c>
      <c r="B105" s="124" t="s">
        <v>273</v>
      </c>
      <c r="C105" s="126">
        <v>890301886</v>
      </c>
      <c r="D105" s="127">
        <v>43089</v>
      </c>
      <c r="E105" s="236" t="s">
        <v>274</v>
      </c>
      <c r="F105" s="59">
        <v>278617</v>
      </c>
      <c r="G105" s="126" t="s">
        <v>275</v>
      </c>
      <c r="H105" s="152">
        <v>0</v>
      </c>
      <c r="I105" s="176" t="s">
        <v>276</v>
      </c>
      <c r="J105" s="209">
        <v>808621600</v>
      </c>
      <c r="K105" s="235" t="s">
        <v>268</v>
      </c>
      <c r="L105" s="237" t="s">
        <v>268</v>
      </c>
    </row>
    <row r="106" spans="1:12" ht="23.25" customHeight="1" x14ac:dyDescent="0.25">
      <c r="A106" s="385">
        <f t="shared" si="1"/>
        <v>480</v>
      </c>
      <c r="B106" s="124" t="s">
        <v>277</v>
      </c>
      <c r="C106" s="126">
        <v>890301886</v>
      </c>
      <c r="D106" s="127">
        <v>43089</v>
      </c>
      <c r="E106" s="236" t="s">
        <v>274</v>
      </c>
      <c r="F106" s="59">
        <v>278517</v>
      </c>
      <c r="G106" s="126" t="s">
        <v>278</v>
      </c>
      <c r="H106" s="172"/>
      <c r="I106" s="153"/>
      <c r="J106" s="238">
        <v>8144443089.9200001</v>
      </c>
      <c r="K106" s="235" t="s">
        <v>268</v>
      </c>
      <c r="L106" s="235" t="s">
        <v>268</v>
      </c>
    </row>
    <row r="107" spans="1:12" ht="23.25" customHeight="1" x14ac:dyDescent="0.25">
      <c r="A107" s="386"/>
      <c r="B107" s="124" t="s">
        <v>279</v>
      </c>
      <c r="C107" s="126">
        <v>890301886</v>
      </c>
      <c r="D107" s="127">
        <v>43089</v>
      </c>
      <c r="E107" s="236" t="s">
        <v>274</v>
      </c>
      <c r="F107" s="239">
        <v>310617</v>
      </c>
      <c r="G107" s="126">
        <v>411017</v>
      </c>
      <c r="H107" s="172"/>
      <c r="I107" s="153"/>
      <c r="J107" s="238">
        <v>1303024010.0899999</v>
      </c>
      <c r="K107" s="102">
        <v>43117</v>
      </c>
      <c r="L107" s="102">
        <v>43117</v>
      </c>
    </row>
    <row r="108" spans="1:12" ht="23.25" customHeight="1" x14ac:dyDescent="0.25">
      <c r="A108" s="223">
        <f>A106+1</f>
        <v>481</v>
      </c>
      <c r="B108" s="142" t="s">
        <v>219</v>
      </c>
      <c r="C108" s="147">
        <v>800079939</v>
      </c>
      <c r="D108" s="127">
        <v>43089</v>
      </c>
      <c r="E108" s="126" t="s">
        <v>220</v>
      </c>
      <c r="F108" s="144">
        <v>283517</v>
      </c>
      <c r="G108" s="126">
        <v>411417</v>
      </c>
      <c r="H108" s="168">
        <v>5619992</v>
      </c>
      <c r="I108" s="178">
        <v>35605</v>
      </c>
      <c r="J108" s="150">
        <v>35198900</v>
      </c>
      <c r="K108" s="102">
        <v>43117</v>
      </c>
      <c r="L108" s="102">
        <v>43117</v>
      </c>
    </row>
    <row r="109" spans="1:12" ht="23.25" customHeight="1" x14ac:dyDescent="0.25">
      <c r="A109" s="223">
        <f t="shared" si="1"/>
        <v>482</v>
      </c>
      <c r="B109" s="111" t="s">
        <v>280</v>
      </c>
      <c r="C109" s="135">
        <v>800235050</v>
      </c>
      <c r="D109" s="127">
        <v>43089</v>
      </c>
      <c r="E109" s="112" t="s">
        <v>281</v>
      </c>
      <c r="F109" s="144">
        <v>315517</v>
      </c>
      <c r="G109" s="126">
        <v>411517</v>
      </c>
      <c r="H109" s="217">
        <v>159568393.58000001</v>
      </c>
      <c r="I109" s="153">
        <v>10951</v>
      </c>
      <c r="J109" s="150">
        <v>999402043.98000002</v>
      </c>
      <c r="K109" s="102">
        <v>43117</v>
      </c>
      <c r="L109" s="102">
        <v>43117</v>
      </c>
    </row>
    <row r="110" spans="1:12" ht="23.25" customHeight="1" x14ac:dyDescent="0.25">
      <c r="A110" s="223">
        <f t="shared" si="1"/>
        <v>483</v>
      </c>
      <c r="B110" s="142" t="s">
        <v>210</v>
      </c>
      <c r="C110" s="147">
        <v>900024202</v>
      </c>
      <c r="D110" s="127">
        <v>43089</v>
      </c>
      <c r="E110" s="135" t="s">
        <v>211</v>
      </c>
      <c r="F110" s="144">
        <v>278417</v>
      </c>
      <c r="G110" s="126">
        <v>411617</v>
      </c>
      <c r="H110" s="152">
        <v>6682589.21</v>
      </c>
      <c r="I110" s="153">
        <v>8606</v>
      </c>
      <c r="J110" s="154">
        <v>41854111.380000003</v>
      </c>
      <c r="K110" s="109">
        <v>43117</v>
      </c>
      <c r="L110" s="109">
        <v>43117</v>
      </c>
    </row>
    <row r="111" spans="1:12" ht="23.25" customHeight="1" x14ac:dyDescent="0.25">
      <c r="A111" s="223">
        <f t="shared" si="1"/>
        <v>484</v>
      </c>
      <c r="B111" s="142" t="s">
        <v>187</v>
      </c>
      <c r="C111" s="126">
        <v>830108265</v>
      </c>
      <c r="D111" s="127">
        <v>43089</v>
      </c>
      <c r="E111" s="147" t="s">
        <v>188</v>
      </c>
      <c r="F111" s="144">
        <v>279717</v>
      </c>
      <c r="G111" s="126">
        <v>411717</v>
      </c>
      <c r="H111" s="152">
        <v>3696830.91</v>
      </c>
      <c r="I111" s="190">
        <v>6434</v>
      </c>
      <c r="J111" s="173">
        <v>23153829.43</v>
      </c>
      <c r="K111" s="109">
        <v>43117</v>
      </c>
      <c r="L111" s="109">
        <v>43117</v>
      </c>
    </row>
    <row r="112" spans="1:12" ht="23.25" customHeight="1" x14ac:dyDescent="0.25">
      <c r="A112" s="223">
        <f t="shared" si="1"/>
        <v>485</v>
      </c>
      <c r="B112" s="126" t="s">
        <v>29</v>
      </c>
      <c r="C112" s="126">
        <v>800212545</v>
      </c>
      <c r="D112" s="127">
        <v>43089</v>
      </c>
      <c r="E112" s="126" t="s">
        <v>30</v>
      </c>
      <c r="F112" s="126">
        <v>192117</v>
      </c>
      <c r="G112" s="139">
        <v>411817</v>
      </c>
      <c r="H112" s="152">
        <v>4425252</v>
      </c>
      <c r="I112" s="156" t="s">
        <v>282</v>
      </c>
      <c r="J112" s="240">
        <v>480513879</v>
      </c>
      <c r="K112" s="109">
        <v>43117</v>
      </c>
      <c r="L112" s="109">
        <v>43117</v>
      </c>
    </row>
    <row r="113" spans="1:12" ht="36" customHeight="1" x14ac:dyDescent="0.25">
      <c r="A113" s="223">
        <f t="shared" si="1"/>
        <v>486</v>
      </c>
      <c r="B113" s="126" t="s">
        <v>52</v>
      </c>
      <c r="C113" s="134">
        <v>860020227</v>
      </c>
      <c r="D113" s="127">
        <v>43089</v>
      </c>
      <c r="E113" s="145" t="s">
        <v>53</v>
      </c>
      <c r="F113" s="126">
        <v>4517</v>
      </c>
      <c r="G113" s="63" t="s">
        <v>283</v>
      </c>
      <c r="H113" s="168">
        <f>900000+775862.07</f>
        <v>1675862.0699999998</v>
      </c>
      <c r="I113" s="176" t="s">
        <v>284</v>
      </c>
      <c r="J113" s="241">
        <v>16396384000</v>
      </c>
      <c r="K113" s="109">
        <v>43117</v>
      </c>
      <c r="L113" s="109">
        <v>43117</v>
      </c>
    </row>
    <row r="114" spans="1:12" ht="33.75" customHeight="1" x14ac:dyDescent="0.25">
      <c r="A114" s="223">
        <f t="shared" si="1"/>
        <v>487</v>
      </c>
      <c r="B114" s="133" t="s">
        <v>285</v>
      </c>
      <c r="C114" s="126">
        <v>860025792</v>
      </c>
      <c r="D114" s="146">
        <v>43089</v>
      </c>
      <c r="E114" s="242" t="s">
        <v>286</v>
      </c>
      <c r="F114" s="243">
        <v>287717</v>
      </c>
      <c r="G114" s="227" t="s">
        <v>287</v>
      </c>
      <c r="H114" s="228">
        <v>40363025.210000001</v>
      </c>
      <c r="I114" s="176" t="s">
        <v>288</v>
      </c>
      <c r="J114" s="244">
        <v>252800000</v>
      </c>
      <c r="K114" s="235" t="s">
        <v>268</v>
      </c>
      <c r="L114" s="235" t="s">
        <v>268</v>
      </c>
    </row>
    <row r="115" spans="1:12" ht="39" customHeight="1" x14ac:dyDescent="0.25">
      <c r="A115" s="223">
        <f t="shared" si="1"/>
        <v>488</v>
      </c>
      <c r="B115" s="245" t="s">
        <v>289</v>
      </c>
      <c r="C115" s="126">
        <v>891410137</v>
      </c>
      <c r="D115" s="127">
        <v>43089</v>
      </c>
      <c r="E115" s="236" t="s">
        <v>91</v>
      </c>
      <c r="F115" s="59">
        <v>310917</v>
      </c>
      <c r="G115" s="126" t="s">
        <v>290</v>
      </c>
      <c r="H115" s="152">
        <v>107576013.43000001</v>
      </c>
      <c r="I115" s="176" t="s">
        <v>291</v>
      </c>
      <c r="J115" s="246">
        <v>673765539</v>
      </c>
      <c r="K115" s="102">
        <v>43117</v>
      </c>
      <c r="L115" s="102">
        <v>43117</v>
      </c>
    </row>
    <row r="116" spans="1:12" ht="41.25" customHeight="1" x14ac:dyDescent="0.25">
      <c r="A116" s="223">
        <f t="shared" si="1"/>
        <v>489</v>
      </c>
      <c r="B116" s="133" t="s">
        <v>292</v>
      </c>
      <c r="C116" s="126">
        <v>860025792</v>
      </c>
      <c r="D116" s="127">
        <v>43089</v>
      </c>
      <c r="E116" s="177" t="s">
        <v>286</v>
      </c>
      <c r="F116" s="59">
        <v>313217</v>
      </c>
      <c r="G116" s="126" t="s">
        <v>293</v>
      </c>
      <c r="H116" s="217"/>
      <c r="I116" s="176" t="s">
        <v>294</v>
      </c>
      <c r="J116" s="238">
        <v>376557330</v>
      </c>
      <c r="K116" s="235" t="s">
        <v>268</v>
      </c>
      <c r="L116" s="235" t="s">
        <v>268</v>
      </c>
    </row>
    <row r="117" spans="1:12" ht="23.25" customHeight="1" x14ac:dyDescent="0.25">
      <c r="A117" s="223">
        <f t="shared" si="1"/>
        <v>490</v>
      </c>
      <c r="B117" s="111" t="s">
        <v>295</v>
      </c>
      <c r="C117" s="126">
        <v>830088907</v>
      </c>
      <c r="D117" s="127">
        <v>43090</v>
      </c>
      <c r="E117" s="112" t="s">
        <v>296</v>
      </c>
      <c r="F117" s="144">
        <v>306617</v>
      </c>
      <c r="G117" s="63" t="s">
        <v>297</v>
      </c>
      <c r="H117" s="152">
        <v>2055800</v>
      </c>
      <c r="I117" s="247">
        <v>3154</v>
      </c>
      <c r="J117" s="248">
        <v>12875800</v>
      </c>
      <c r="K117" s="235">
        <v>43118</v>
      </c>
      <c r="L117" s="235">
        <v>43118</v>
      </c>
    </row>
    <row r="118" spans="1:12" ht="23.25" customHeight="1" x14ac:dyDescent="0.25">
      <c r="A118" s="223">
        <f t="shared" si="1"/>
        <v>491</v>
      </c>
      <c r="B118" s="142" t="s">
        <v>125</v>
      </c>
      <c r="C118" s="126">
        <v>800007813</v>
      </c>
      <c r="D118" s="127">
        <v>43090</v>
      </c>
      <c r="E118" s="147" t="s">
        <v>126</v>
      </c>
      <c r="F118" s="126">
        <v>290117</v>
      </c>
      <c r="G118" s="126">
        <v>416017</v>
      </c>
      <c r="H118" s="168">
        <v>0</v>
      </c>
      <c r="I118" s="153">
        <v>9117012475</v>
      </c>
      <c r="J118" s="170">
        <v>77620841.819999993</v>
      </c>
      <c r="K118" s="235">
        <v>43118</v>
      </c>
      <c r="L118" s="235">
        <v>43118</v>
      </c>
    </row>
    <row r="119" spans="1:12" ht="70.5" customHeight="1" x14ac:dyDescent="0.25">
      <c r="A119" s="223">
        <f t="shared" si="1"/>
        <v>492</v>
      </c>
      <c r="B119" s="57" t="s">
        <v>207</v>
      </c>
      <c r="C119" s="111">
        <v>800212285</v>
      </c>
      <c r="D119" s="127">
        <v>43090</v>
      </c>
      <c r="E119" s="126" t="s">
        <v>208</v>
      </c>
      <c r="F119" s="144">
        <v>249917</v>
      </c>
      <c r="G119" s="126">
        <v>415817</v>
      </c>
      <c r="H119" s="152">
        <v>99390772.269999996</v>
      </c>
      <c r="I119" s="174" t="s">
        <v>298</v>
      </c>
      <c r="J119" s="150">
        <f>622500100+580200500+237299400</f>
        <v>1440000000</v>
      </c>
      <c r="K119" s="235">
        <v>43123</v>
      </c>
      <c r="L119" s="235">
        <v>43123</v>
      </c>
    </row>
    <row r="120" spans="1:12" ht="23.25" customHeight="1" x14ac:dyDescent="0.25">
      <c r="A120" s="223">
        <f t="shared" si="1"/>
        <v>493</v>
      </c>
      <c r="B120" s="140" t="s">
        <v>57</v>
      </c>
      <c r="C120" s="140">
        <v>830122566</v>
      </c>
      <c r="D120" s="127">
        <v>43090</v>
      </c>
      <c r="E120" s="140" t="s">
        <v>58</v>
      </c>
      <c r="F120" s="140">
        <v>188917</v>
      </c>
      <c r="G120" s="139">
        <v>415917</v>
      </c>
      <c r="H120" s="168">
        <v>12730656.699999999</v>
      </c>
      <c r="I120" s="169" t="s">
        <v>299</v>
      </c>
      <c r="J120" s="170">
        <f>79734113+0.65</f>
        <v>79734113.650000006</v>
      </c>
      <c r="K120" s="102">
        <v>43118</v>
      </c>
      <c r="L120" s="102">
        <v>43118</v>
      </c>
    </row>
    <row r="121" spans="1:12" ht="23.25" customHeight="1" x14ac:dyDescent="0.25">
      <c r="A121" s="223">
        <f t="shared" si="1"/>
        <v>494</v>
      </c>
      <c r="B121" s="133" t="s">
        <v>300</v>
      </c>
      <c r="C121" s="177">
        <v>901081889</v>
      </c>
      <c r="D121" s="127">
        <v>43091</v>
      </c>
      <c r="E121" s="177" t="s">
        <v>301</v>
      </c>
      <c r="F121" s="249">
        <v>304317</v>
      </c>
      <c r="G121" s="126">
        <v>417317</v>
      </c>
      <c r="H121" s="152">
        <v>20864874</v>
      </c>
      <c r="I121" s="156" t="s">
        <v>302</v>
      </c>
      <c r="J121" s="136">
        <v>130680000</v>
      </c>
      <c r="K121" s="102">
        <v>43118</v>
      </c>
      <c r="L121" s="102">
        <v>43118</v>
      </c>
    </row>
  </sheetData>
  <mergeCells count="20">
    <mergeCell ref="A35:A36"/>
    <mergeCell ref="A1:K1"/>
    <mergeCell ref="A2:K2"/>
    <mergeCell ref="A3:K3"/>
    <mergeCell ref="A5:K5"/>
    <mergeCell ref="A7:K7"/>
    <mergeCell ref="A8:H8"/>
    <mergeCell ref="A11:A12"/>
    <mergeCell ref="A20:A21"/>
    <mergeCell ref="B20:B21"/>
    <mergeCell ref="D20:D21"/>
    <mergeCell ref="E20:E21"/>
    <mergeCell ref="I102:I103"/>
    <mergeCell ref="A106:A107"/>
    <mergeCell ref="A42:A43"/>
    <mergeCell ref="A47:A48"/>
    <mergeCell ref="A97:A98"/>
    <mergeCell ref="C97:C98"/>
    <mergeCell ref="E97:E98"/>
    <mergeCell ref="A102:A10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45"/>
  <sheetViews>
    <sheetView zoomScale="70" zoomScaleNormal="70" workbookViewId="0">
      <pane ySplit="10" topLeftCell="A11" activePane="bottomLeft" state="frozen"/>
      <selection activeCell="A6" sqref="A6"/>
      <selection pane="bottomLeft" activeCell="I23" sqref="I23:I24"/>
    </sheetView>
  </sheetViews>
  <sheetFormatPr baseColWidth="10" defaultRowHeight="23.25" customHeight="1" x14ac:dyDescent="0.25"/>
  <cols>
    <col min="1" max="1" width="10.5703125" style="25" customWidth="1"/>
    <col min="2" max="2" width="32.2851562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7" hidden="1" customWidth="1"/>
    <col min="9" max="9" width="39.7109375" style="23" customWidth="1"/>
    <col min="10" max="10" width="27.140625" style="17" customWidth="1"/>
    <col min="11" max="11" width="21.5703125" customWidth="1"/>
    <col min="12" max="12" width="28.140625" hidden="1" customWidth="1"/>
    <col min="13" max="13" width="42.7109375" style="10" customWidth="1"/>
    <col min="14" max="14" width="43.28515625" style="10" customWidth="1"/>
    <col min="15" max="15" width="32" style="10" customWidth="1"/>
    <col min="16" max="16" width="40.5703125" style="10" customWidth="1"/>
    <col min="17" max="17" width="34.42578125" style="10" customWidth="1"/>
    <col min="18" max="18" width="34" style="10" customWidth="1"/>
    <col min="19" max="19" width="44.28515625" style="10" customWidth="1"/>
    <col min="20" max="20" width="33.5703125" style="10" customWidth="1"/>
    <col min="21" max="109" width="11.42578125" style="10"/>
  </cols>
  <sheetData>
    <row r="1" spans="1:109" ht="23.25" customHeight="1" x14ac:dyDescent="0.25">
      <c r="A1" s="382" t="s">
        <v>11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18" t="s">
        <v>14</v>
      </c>
    </row>
    <row r="2" spans="1:109" ht="23.25" customHeight="1" x14ac:dyDescent="0.25">
      <c r="A2" s="382" t="s">
        <v>12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26"/>
    </row>
    <row r="3" spans="1:109" ht="23.25" customHeight="1" x14ac:dyDescent="0.25">
      <c r="A3" s="382" t="s">
        <v>13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26"/>
    </row>
    <row r="4" spans="1:109" ht="23.25" customHeight="1" x14ac:dyDescent="0.25">
      <c r="A4" s="11"/>
      <c r="B4" s="12"/>
      <c r="C4" s="13"/>
      <c r="D4" s="14"/>
      <c r="E4" s="15"/>
      <c r="F4" s="16"/>
      <c r="H4"/>
      <c r="I4" s="11"/>
      <c r="J4" s="12"/>
      <c r="K4" s="13"/>
      <c r="L4" s="26"/>
    </row>
    <row r="5" spans="1:109" ht="23.25" customHeight="1" x14ac:dyDescent="0.25">
      <c r="A5" s="382" t="s">
        <v>127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26"/>
    </row>
    <row r="6" spans="1:109" ht="23.25" customHeight="1" x14ac:dyDescent="0.25">
      <c r="A6" s="10"/>
      <c r="H6"/>
      <c r="I6"/>
      <c r="J6"/>
      <c r="L6" t="s">
        <v>15</v>
      </c>
    </row>
    <row r="7" spans="1:109" ht="23.25" customHeight="1" x14ac:dyDescent="0.25">
      <c r="A7" s="383" t="s">
        <v>22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t="s">
        <v>16</v>
      </c>
    </row>
    <row r="8" spans="1:109" ht="23.25" customHeight="1" x14ac:dyDescent="0.25">
      <c r="A8" s="382" t="s">
        <v>17</v>
      </c>
      <c r="B8" s="382"/>
      <c r="C8" s="382"/>
      <c r="D8" s="382"/>
      <c r="E8" s="382"/>
      <c r="F8" s="382"/>
      <c r="G8" s="382"/>
      <c r="H8" s="382"/>
      <c r="I8" s="27"/>
      <c r="J8" s="28"/>
      <c r="K8" s="10"/>
      <c r="L8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8"/>
      <c r="J9" s="29" t="s">
        <v>23</v>
      </c>
      <c r="K9" s="24"/>
      <c r="L9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</row>
    <row r="11" spans="1:109" s="101" customFormat="1" ht="23.25" customHeight="1" x14ac:dyDescent="0.25">
      <c r="A11" s="104">
        <v>95</v>
      </c>
      <c r="B11" s="250" t="s">
        <v>247</v>
      </c>
      <c r="C11" s="251">
        <v>901124184</v>
      </c>
      <c r="D11" s="40">
        <v>43088</v>
      </c>
      <c r="E11" s="252" t="s">
        <v>248</v>
      </c>
      <c r="F11" s="253">
        <v>296917</v>
      </c>
      <c r="G11" s="251">
        <v>407117</v>
      </c>
      <c r="H11" s="251"/>
      <c r="I11" s="254" t="s">
        <v>249</v>
      </c>
      <c r="J11" s="255">
        <v>151280980</v>
      </c>
      <c r="K11" s="256">
        <v>43115</v>
      </c>
      <c r="L11" s="256">
        <v>43115</v>
      </c>
      <c r="M11" s="103"/>
      <c r="N11" s="32"/>
    </row>
    <row r="12" spans="1:109" s="101" customFormat="1" ht="26.25" customHeight="1" x14ac:dyDescent="0.25">
      <c r="A12" s="104">
        <f t="shared" ref="A12:A45" si="0">A11+1</f>
        <v>96</v>
      </c>
      <c r="B12" s="252" t="s">
        <v>77</v>
      </c>
      <c r="C12" s="39">
        <v>860067479</v>
      </c>
      <c r="D12" s="40">
        <v>43088</v>
      </c>
      <c r="E12" s="257" t="s">
        <v>78</v>
      </c>
      <c r="F12" s="252">
        <v>103517</v>
      </c>
      <c r="G12" s="41">
        <v>407517</v>
      </c>
      <c r="H12" s="258">
        <f>2043372.02+262752.46+337362.15</f>
        <v>2643486.63</v>
      </c>
      <c r="I12" s="259">
        <v>87286</v>
      </c>
      <c r="J12" s="258">
        <v>19921429.050000001</v>
      </c>
      <c r="K12" s="256">
        <v>43115</v>
      </c>
      <c r="L12" s="256">
        <v>43115</v>
      </c>
      <c r="M12" s="32"/>
      <c r="N12" s="32"/>
    </row>
    <row r="13" spans="1:109" s="101" customFormat="1" ht="33" customHeight="1" x14ac:dyDescent="0.25">
      <c r="A13" s="104">
        <f t="shared" si="0"/>
        <v>97</v>
      </c>
      <c r="B13" s="250" t="s">
        <v>303</v>
      </c>
      <c r="C13" s="251">
        <v>900297782</v>
      </c>
      <c r="D13" s="40">
        <v>43088</v>
      </c>
      <c r="E13" s="252" t="s">
        <v>304</v>
      </c>
      <c r="F13" s="260">
        <v>306417</v>
      </c>
      <c r="G13" s="41">
        <v>408017</v>
      </c>
      <c r="H13" s="261">
        <v>3283966.39</v>
      </c>
      <c r="I13" s="43">
        <v>155</v>
      </c>
      <c r="J13" s="258">
        <v>20568000</v>
      </c>
      <c r="K13" s="262">
        <v>43115</v>
      </c>
      <c r="L13" s="262">
        <v>43115</v>
      </c>
      <c r="M13" s="32"/>
      <c r="N13" s="32"/>
    </row>
    <row r="14" spans="1:109" s="101" customFormat="1" ht="23.25" customHeight="1" x14ac:dyDescent="0.25">
      <c r="A14" s="104">
        <f t="shared" si="0"/>
        <v>98</v>
      </c>
      <c r="B14" s="251" t="s">
        <v>29</v>
      </c>
      <c r="C14" s="251">
        <v>800212545</v>
      </c>
      <c r="D14" s="40">
        <v>43089</v>
      </c>
      <c r="E14" s="251" t="s">
        <v>30</v>
      </c>
      <c r="F14" s="263">
        <v>314317</v>
      </c>
      <c r="G14" s="41">
        <v>411917</v>
      </c>
      <c r="H14" s="261">
        <v>689358</v>
      </c>
      <c r="I14" s="43">
        <v>167869</v>
      </c>
      <c r="J14" s="261">
        <v>4437670</v>
      </c>
      <c r="K14" s="256">
        <v>43115</v>
      </c>
      <c r="L14" s="256">
        <v>43115</v>
      </c>
      <c r="M14" s="32"/>
      <c r="N14" s="32"/>
    </row>
    <row r="15" spans="1:109" s="101" customFormat="1" ht="31.5" customHeight="1" x14ac:dyDescent="0.25">
      <c r="A15" s="104">
        <f t="shared" si="0"/>
        <v>99</v>
      </c>
      <c r="B15" s="251" t="s">
        <v>52</v>
      </c>
      <c r="C15" s="39">
        <v>860020227</v>
      </c>
      <c r="D15" s="40">
        <v>43089</v>
      </c>
      <c r="E15" s="264" t="s">
        <v>53</v>
      </c>
      <c r="F15" s="251">
        <v>4517</v>
      </c>
      <c r="G15" s="265">
        <v>412117</v>
      </c>
      <c r="H15" s="258">
        <f>900000+775862.07</f>
        <v>1675862.0699999998</v>
      </c>
      <c r="I15" s="266" t="s">
        <v>284</v>
      </c>
      <c r="J15" s="258">
        <v>2586870000</v>
      </c>
      <c r="K15" s="256">
        <v>43115</v>
      </c>
      <c r="L15" s="256">
        <v>43115</v>
      </c>
      <c r="M15" s="32"/>
      <c r="N15" s="32"/>
    </row>
    <row r="16" spans="1:109" s="101" customFormat="1" ht="23.25" customHeight="1" x14ac:dyDescent="0.25">
      <c r="A16" s="104">
        <f t="shared" si="0"/>
        <v>100</v>
      </c>
      <c r="B16" s="250" t="s">
        <v>72</v>
      </c>
      <c r="C16" s="251">
        <v>830122566</v>
      </c>
      <c r="D16" s="40">
        <v>43089</v>
      </c>
      <c r="E16" s="252" t="s">
        <v>73</v>
      </c>
      <c r="F16" s="251">
        <v>278117</v>
      </c>
      <c r="G16" s="251">
        <v>413217</v>
      </c>
      <c r="H16" s="251"/>
      <c r="I16" s="254" t="s">
        <v>305</v>
      </c>
      <c r="J16" s="267">
        <v>1279184833.9100001</v>
      </c>
      <c r="K16" s="268"/>
      <c r="L16" s="268"/>
      <c r="M16" s="32"/>
      <c r="N16" s="32"/>
    </row>
    <row r="17" spans="1:14" s="101" customFormat="1" ht="23.25" customHeight="1" x14ac:dyDescent="0.25">
      <c r="A17" s="104">
        <f t="shared" si="0"/>
        <v>101</v>
      </c>
      <c r="B17" s="250" t="s">
        <v>306</v>
      </c>
      <c r="C17" s="251">
        <v>860077695</v>
      </c>
      <c r="D17" s="40">
        <v>43090</v>
      </c>
      <c r="E17" s="269" t="s">
        <v>82</v>
      </c>
      <c r="F17" s="251">
        <v>340717</v>
      </c>
      <c r="G17" s="41">
        <v>414117</v>
      </c>
      <c r="H17" s="261">
        <v>4387236</v>
      </c>
      <c r="I17" s="43" t="s">
        <v>307</v>
      </c>
      <c r="J17" s="42">
        <f>27477952-0.5</f>
        <v>27477951.5</v>
      </c>
      <c r="K17" s="256">
        <v>43115</v>
      </c>
      <c r="L17" s="256">
        <v>43115</v>
      </c>
      <c r="M17" s="32"/>
      <c r="N17" s="32"/>
    </row>
    <row r="18" spans="1:14" s="101" customFormat="1" ht="23.25" customHeight="1" x14ac:dyDescent="0.25">
      <c r="A18" s="104">
        <f t="shared" si="0"/>
        <v>102</v>
      </c>
      <c r="B18" s="269" t="s">
        <v>308</v>
      </c>
      <c r="C18" s="251">
        <v>9001100012</v>
      </c>
      <c r="D18" s="40">
        <v>43089</v>
      </c>
      <c r="E18" s="251" t="s">
        <v>69</v>
      </c>
      <c r="F18" s="260">
        <v>73717</v>
      </c>
      <c r="G18" s="41">
        <v>415417</v>
      </c>
      <c r="H18" s="42">
        <v>2735643.24</v>
      </c>
      <c r="I18" s="43" t="s">
        <v>309</v>
      </c>
      <c r="J18" s="270">
        <f>960573685.51+2103440979.94-4322.61</f>
        <v>3064010342.8399997</v>
      </c>
      <c r="K18" s="271">
        <v>43118</v>
      </c>
      <c r="L18" s="271">
        <v>43118</v>
      </c>
      <c r="M18" s="32"/>
      <c r="N18" s="32"/>
    </row>
    <row r="19" spans="1:14" s="101" customFormat="1" ht="23.25" customHeight="1" x14ac:dyDescent="0.25">
      <c r="A19" s="104">
        <f t="shared" si="0"/>
        <v>103</v>
      </c>
      <c r="B19" s="252" t="s">
        <v>70</v>
      </c>
      <c r="C19" s="252">
        <v>830103325</v>
      </c>
      <c r="D19" s="40">
        <v>43090</v>
      </c>
      <c r="E19" s="250" t="s">
        <v>71</v>
      </c>
      <c r="F19" s="251">
        <v>170317</v>
      </c>
      <c r="G19" s="41">
        <v>415517</v>
      </c>
      <c r="H19" s="261">
        <v>9605282</v>
      </c>
      <c r="I19" s="43">
        <v>1509</v>
      </c>
      <c r="J19" s="261">
        <v>60159400</v>
      </c>
      <c r="K19" s="256">
        <v>43117</v>
      </c>
      <c r="L19" s="256">
        <v>43117</v>
      </c>
      <c r="M19" s="32"/>
      <c r="N19" s="32"/>
    </row>
    <row r="20" spans="1:14" s="101" customFormat="1" ht="28.5" customHeight="1" x14ac:dyDescent="0.25">
      <c r="A20" s="104">
        <f t="shared" si="0"/>
        <v>104</v>
      </c>
      <c r="B20" s="269" t="s">
        <v>102</v>
      </c>
      <c r="C20" s="251">
        <v>830023178</v>
      </c>
      <c r="D20" s="40">
        <v>43091</v>
      </c>
      <c r="E20" s="251" t="s">
        <v>60</v>
      </c>
      <c r="F20" s="272">
        <v>301117</v>
      </c>
      <c r="G20" s="41" t="s">
        <v>310</v>
      </c>
      <c r="H20" s="273">
        <v>6260779</v>
      </c>
      <c r="I20" s="43">
        <v>10157</v>
      </c>
      <c r="J20" s="274">
        <v>39212249</v>
      </c>
      <c r="K20" s="262">
        <v>43117</v>
      </c>
      <c r="L20" s="262">
        <v>43117</v>
      </c>
      <c r="M20" s="32"/>
      <c r="N20" s="32"/>
    </row>
    <row r="21" spans="1:14" s="101" customFormat="1" ht="23.25" customHeight="1" x14ac:dyDescent="0.25">
      <c r="A21" s="104">
        <f t="shared" si="0"/>
        <v>105</v>
      </c>
      <c r="B21" s="275" t="s">
        <v>311</v>
      </c>
      <c r="C21" s="268">
        <v>860002400</v>
      </c>
      <c r="D21" s="40">
        <v>43091</v>
      </c>
      <c r="E21" s="268" t="s">
        <v>56</v>
      </c>
      <c r="F21" s="268">
        <v>341517</v>
      </c>
      <c r="G21" s="276">
        <v>417917</v>
      </c>
      <c r="H21" s="277">
        <v>0</v>
      </c>
      <c r="I21" s="259" t="s">
        <v>312</v>
      </c>
      <c r="J21" s="278">
        <v>1048451770</v>
      </c>
      <c r="K21" s="256">
        <v>43117</v>
      </c>
      <c r="L21" s="256">
        <v>43117</v>
      </c>
      <c r="M21" s="32"/>
      <c r="N21" s="32"/>
    </row>
    <row r="22" spans="1:14" s="101" customFormat="1" ht="23.25" customHeight="1" x14ac:dyDescent="0.25">
      <c r="A22" s="104">
        <f t="shared" si="0"/>
        <v>106</v>
      </c>
      <c r="B22" s="279" t="s">
        <v>80</v>
      </c>
      <c r="C22" s="268">
        <v>830036940</v>
      </c>
      <c r="D22" s="40">
        <v>43092</v>
      </c>
      <c r="E22" s="280" t="s">
        <v>81</v>
      </c>
      <c r="F22" s="281">
        <v>210117</v>
      </c>
      <c r="G22" s="41">
        <v>420717</v>
      </c>
      <c r="H22" s="42">
        <v>165817070.94</v>
      </c>
      <c r="I22" s="254">
        <v>15317</v>
      </c>
      <c r="J22" s="42">
        <v>1038538496.97</v>
      </c>
      <c r="K22" s="256">
        <v>43117</v>
      </c>
      <c r="L22" s="256">
        <v>43117</v>
      </c>
      <c r="M22" s="32"/>
      <c r="N22" s="32"/>
    </row>
    <row r="23" spans="1:14" s="101" customFormat="1" ht="40.5" customHeight="1" x14ac:dyDescent="0.25">
      <c r="A23" s="385">
        <f t="shared" si="0"/>
        <v>107</v>
      </c>
      <c r="B23" s="279" t="s">
        <v>313</v>
      </c>
      <c r="C23" s="398">
        <v>901098837</v>
      </c>
      <c r="D23" s="40">
        <v>43095</v>
      </c>
      <c r="E23" s="399" t="s">
        <v>314</v>
      </c>
      <c r="F23" s="282">
        <v>227617</v>
      </c>
      <c r="G23" s="268">
        <v>422517</v>
      </c>
      <c r="H23" s="283">
        <v>0</v>
      </c>
      <c r="I23" s="400">
        <v>1</v>
      </c>
      <c r="J23" s="284">
        <v>922452300</v>
      </c>
      <c r="K23" s="256">
        <v>43117</v>
      </c>
      <c r="L23" s="256">
        <v>43117</v>
      </c>
      <c r="M23" s="32"/>
      <c r="N23" s="32"/>
    </row>
    <row r="24" spans="1:14" s="101" customFormat="1" ht="23.25" customHeight="1" x14ac:dyDescent="0.25">
      <c r="A24" s="387"/>
      <c r="B24" s="279" t="s">
        <v>315</v>
      </c>
      <c r="C24" s="398"/>
      <c r="D24" s="40">
        <v>43095</v>
      </c>
      <c r="E24" s="399"/>
      <c r="F24" s="281">
        <v>309917</v>
      </c>
      <c r="G24" s="41">
        <v>422617</v>
      </c>
      <c r="H24" s="42">
        <v>0</v>
      </c>
      <c r="I24" s="400"/>
      <c r="J24" s="284">
        <v>121730400</v>
      </c>
      <c r="K24" s="285">
        <v>43117</v>
      </c>
      <c r="L24" s="285">
        <v>43117</v>
      </c>
      <c r="M24" s="32"/>
      <c r="N24" s="32"/>
    </row>
    <row r="25" spans="1:14" s="101" customFormat="1" ht="23.25" customHeight="1" x14ac:dyDescent="0.25">
      <c r="A25" s="104">
        <f>A23+1</f>
        <v>108</v>
      </c>
      <c r="B25" s="286" t="s">
        <v>316</v>
      </c>
      <c r="C25" s="287">
        <v>800242738</v>
      </c>
      <c r="D25" s="40">
        <v>43096</v>
      </c>
      <c r="E25" s="287" t="s">
        <v>317</v>
      </c>
      <c r="F25" s="288">
        <v>301217</v>
      </c>
      <c r="G25" s="251">
        <v>426317</v>
      </c>
      <c r="H25" s="289"/>
      <c r="I25" s="290">
        <v>16640</v>
      </c>
      <c r="J25" s="291">
        <f>5102808.85+4638027.69+920803.58</f>
        <v>10661640.119999999</v>
      </c>
      <c r="K25" s="285">
        <v>43117</v>
      </c>
      <c r="L25" s="285">
        <v>43117</v>
      </c>
      <c r="M25" s="32"/>
      <c r="N25" s="32"/>
    </row>
    <row r="26" spans="1:14" s="101" customFormat="1" ht="23.25" customHeight="1" x14ac:dyDescent="0.25">
      <c r="A26" s="104">
        <f t="shared" si="0"/>
        <v>109</v>
      </c>
      <c r="B26" s="279" t="s">
        <v>318</v>
      </c>
      <c r="C26" s="251">
        <v>800203513</v>
      </c>
      <c r="D26" s="40">
        <v>43096</v>
      </c>
      <c r="E26" s="280" t="s">
        <v>319</v>
      </c>
      <c r="F26" s="263">
        <v>306517</v>
      </c>
      <c r="G26" s="251">
        <v>426817</v>
      </c>
      <c r="H26" s="289"/>
      <c r="I26" s="290">
        <v>331</v>
      </c>
      <c r="J26" s="284">
        <v>1043357500</v>
      </c>
      <c r="K26" s="256">
        <v>43125</v>
      </c>
      <c r="L26" s="256">
        <v>43125</v>
      </c>
      <c r="M26" s="32"/>
      <c r="N26" s="32"/>
    </row>
    <row r="27" spans="1:14" s="101" customFormat="1" ht="23.25" customHeight="1" x14ac:dyDescent="0.25">
      <c r="A27" s="104">
        <f t="shared" si="0"/>
        <v>110</v>
      </c>
      <c r="B27" s="286" t="s">
        <v>320</v>
      </c>
      <c r="C27" s="292">
        <v>890900943</v>
      </c>
      <c r="D27" s="40">
        <v>43096</v>
      </c>
      <c r="E27" s="287" t="s">
        <v>87</v>
      </c>
      <c r="F27" s="293">
        <v>314217</v>
      </c>
      <c r="G27" s="276">
        <v>426517</v>
      </c>
      <c r="H27" s="283">
        <f>151224+629443</f>
        <v>780667</v>
      </c>
      <c r="I27" s="43" t="s">
        <v>321</v>
      </c>
      <c r="J27" s="294">
        <f>94720+3942290</f>
        <v>4037010</v>
      </c>
      <c r="K27" s="256">
        <v>43117</v>
      </c>
      <c r="L27" s="256">
        <v>43117</v>
      </c>
      <c r="M27" s="32"/>
      <c r="N27" s="32"/>
    </row>
    <row r="28" spans="1:14" s="101" customFormat="1" ht="36" customHeight="1" x14ac:dyDescent="0.25">
      <c r="A28" s="104">
        <f t="shared" si="0"/>
        <v>111</v>
      </c>
      <c r="B28" s="256" t="s">
        <v>75</v>
      </c>
      <c r="C28" s="268">
        <v>830001113</v>
      </c>
      <c r="D28" s="40">
        <v>43097</v>
      </c>
      <c r="E28" s="268" t="s">
        <v>76</v>
      </c>
      <c r="F28" s="268">
        <v>69617</v>
      </c>
      <c r="G28" s="276">
        <v>427817</v>
      </c>
      <c r="H28" s="283">
        <v>0</v>
      </c>
      <c r="I28" s="295">
        <v>89806</v>
      </c>
      <c r="J28" s="261">
        <v>307230000</v>
      </c>
      <c r="K28" s="256">
        <v>43117</v>
      </c>
      <c r="L28" s="256">
        <v>43117</v>
      </c>
      <c r="M28" s="32"/>
      <c r="N28" s="32"/>
    </row>
    <row r="29" spans="1:14" s="101" customFormat="1" ht="23.25" customHeight="1" x14ac:dyDescent="0.25">
      <c r="A29" s="104">
        <f t="shared" si="0"/>
        <v>112</v>
      </c>
      <c r="B29" s="279" t="s">
        <v>322</v>
      </c>
      <c r="C29" s="251">
        <v>830141859</v>
      </c>
      <c r="D29" s="40">
        <v>43097</v>
      </c>
      <c r="E29" s="280" t="s">
        <v>323</v>
      </c>
      <c r="F29" s="296">
        <v>253417</v>
      </c>
      <c r="G29" s="297">
        <v>427717</v>
      </c>
      <c r="H29" s="298"/>
      <c r="I29" s="299" t="s">
        <v>324</v>
      </c>
      <c r="J29" s="284">
        <f>27449952.34+27449952.34</f>
        <v>54899904.68</v>
      </c>
      <c r="K29" s="256">
        <v>43117</v>
      </c>
      <c r="L29" s="256">
        <v>43117</v>
      </c>
      <c r="M29" s="32"/>
      <c r="N29" s="32"/>
    </row>
    <row r="30" spans="1:14" s="101" customFormat="1" ht="23.25" customHeight="1" x14ac:dyDescent="0.25">
      <c r="A30" s="104">
        <f t="shared" si="0"/>
        <v>113</v>
      </c>
      <c r="B30" s="300" t="s">
        <v>279</v>
      </c>
      <c r="C30" s="251">
        <v>890301886</v>
      </c>
      <c r="D30" s="40">
        <v>43089</v>
      </c>
      <c r="E30" s="301" t="s">
        <v>274</v>
      </c>
      <c r="F30" s="293" t="s">
        <v>325</v>
      </c>
      <c r="G30" s="251" t="s">
        <v>326</v>
      </c>
      <c r="H30" s="302"/>
      <c r="I30" s="290"/>
      <c r="J30" s="303">
        <f>635754466.25+418100000+52341600</f>
        <v>1106196066.25</v>
      </c>
      <c r="K30" s="44" t="s">
        <v>268</v>
      </c>
      <c r="L30" s="44" t="s">
        <v>268</v>
      </c>
      <c r="M30" s="32"/>
      <c r="N30" s="32"/>
    </row>
    <row r="31" spans="1:14" s="101" customFormat="1" ht="23.25" customHeight="1" x14ac:dyDescent="0.25">
      <c r="A31" s="104">
        <f t="shared" si="0"/>
        <v>114</v>
      </c>
      <c r="B31" s="279" t="s">
        <v>327</v>
      </c>
      <c r="C31" s="251">
        <v>830096688</v>
      </c>
      <c r="D31" s="304">
        <v>43098</v>
      </c>
      <c r="E31" s="280" t="s">
        <v>328</v>
      </c>
      <c r="F31" s="296">
        <v>297417</v>
      </c>
      <c r="G31" s="297">
        <v>429517</v>
      </c>
      <c r="H31" s="298"/>
      <c r="I31" s="299" t="s">
        <v>329</v>
      </c>
      <c r="J31" s="305">
        <f>(52428001.28+20839363.72+18519749.12+88920404.48)-2851878.4</f>
        <v>177855640.20000002</v>
      </c>
      <c r="K31" s="256">
        <v>43117</v>
      </c>
      <c r="L31" s="256">
        <v>43117</v>
      </c>
      <c r="M31" s="32"/>
      <c r="N31" s="32"/>
    </row>
    <row r="32" spans="1:14" s="101" customFormat="1" ht="31.5" customHeight="1" x14ac:dyDescent="0.25">
      <c r="A32" s="104">
        <f t="shared" si="0"/>
        <v>115</v>
      </c>
      <c r="B32" s="279" t="s">
        <v>330</v>
      </c>
      <c r="C32" s="251">
        <v>830001113</v>
      </c>
      <c r="D32" s="304">
        <v>43098</v>
      </c>
      <c r="E32" s="279" t="s">
        <v>331</v>
      </c>
      <c r="F32" s="263">
        <v>192817</v>
      </c>
      <c r="G32" s="251">
        <v>429417</v>
      </c>
      <c r="H32" s="289"/>
      <c r="I32" s="306" t="s">
        <v>332</v>
      </c>
      <c r="J32" s="284">
        <v>290004276.57999998</v>
      </c>
      <c r="K32" s="256">
        <v>43118</v>
      </c>
      <c r="L32" s="256">
        <v>43118</v>
      </c>
      <c r="M32" s="32"/>
      <c r="N32" s="32"/>
    </row>
    <row r="33" spans="1:14" s="101" customFormat="1" ht="23.25" customHeight="1" x14ac:dyDescent="0.25">
      <c r="A33" s="104">
        <f t="shared" si="0"/>
        <v>116</v>
      </c>
      <c r="B33" s="279" t="s">
        <v>106</v>
      </c>
      <c r="C33" s="307">
        <v>800141397</v>
      </c>
      <c r="D33" s="304">
        <v>43098</v>
      </c>
      <c r="E33" s="280" t="s">
        <v>107</v>
      </c>
      <c r="F33" s="308">
        <v>214517</v>
      </c>
      <c r="G33" s="276">
        <v>430817</v>
      </c>
      <c r="H33" s="283"/>
      <c r="I33" s="43">
        <v>132176461</v>
      </c>
      <c r="J33" s="284">
        <f>27200*3300</f>
        <v>89760000</v>
      </c>
      <c r="K33" s="256">
        <v>43118</v>
      </c>
      <c r="L33" s="256">
        <v>43118</v>
      </c>
      <c r="M33" s="32"/>
      <c r="N33" s="32"/>
    </row>
    <row r="34" spans="1:14" s="101" customFormat="1" ht="23.25" customHeight="1" x14ac:dyDescent="0.25">
      <c r="A34" s="104">
        <f t="shared" si="0"/>
        <v>117</v>
      </c>
      <c r="B34" s="309" t="s">
        <v>322</v>
      </c>
      <c r="C34" s="251">
        <v>830141859</v>
      </c>
      <c r="D34" s="310">
        <v>43097</v>
      </c>
      <c r="E34" s="280" t="s">
        <v>323</v>
      </c>
      <c r="F34" s="263">
        <v>253417</v>
      </c>
      <c r="G34" s="251">
        <v>431117</v>
      </c>
      <c r="H34" s="289">
        <v>971607.72</v>
      </c>
      <c r="I34" s="299">
        <v>258</v>
      </c>
      <c r="J34" s="311">
        <v>27449952.329999998</v>
      </c>
      <c r="K34" s="256">
        <v>43118</v>
      </c>
      <c r="L34" s="256">
        <v>43118</v>
      </c>
      <c r="M34" s="32"/>
      <c r="N34" s="32"/>
    </row>
    <row r="35" spans="1:14" s="101" customFormat="1" ht="23.25" customHeight="1" x14ac:dyDescent="0.25">
      <c r="A35" s="104">
        <f t="shared" si="0"/>
        <v>118</v>
      </c>
      <c r="B35" s="286" t="s">
        <v>333</v>
      </c>
      <c r="C35" s="307">
        <v>900157340</v>
      </c>
      <c r="D35" s="310">
        <v>43099</v>
      </c>
      <c r="E35" s="312" t="s">
        <v>334</v>
      </c>
      <c r="F35" s="313">
        <v>332417</v>
      </c>
      <c r="G35" s="314">
        <v>431817</v>
      </c>
      <c r="H35" s="315">
        <v>37319.040000000001</v>
      </c>
      <c r="I35" s="316">
        <v>12373</v>
      </c>
      <c r="J35" s="317">
        <v>233735.04000000001</v>
      </c>
      <c r="K35" s="262">
        <v>43118</v>
      </c>
      <c r="L35" s="262">
        <v>43118</v>
      </c>
      <c r="M35" s="32"/>
      <c r="N35" s="32"/>
    </row>
    <row r="36" spans="1:14" s="101" customFormat="1" ht="23.25" customHeight="1" x14ac:dyDescent="0.25">
      <c r="A36" s="104">
        <f t="shared" si="0"/>
        <v>119</v>
      </c>
      <c r="B36" s="286" t="s">
        <v>335</v>
      </c>
      <c r="C36" s="268">
        <v>830113914</v>
      </c>
      <c r="D36" s="40">
        <v>43099</v>
      </c>
      <c r="E36" s="287" t="s">
        <v>336</v>
      </c>
      <c r="F36" s="293">
        <v>332317</v>
      </c>
      <c r="G36" s="276">
        <v>431917</v>
      </c>
      <c r="H36" s="283">
        <v>147915.19</v>
      </c>
      <c r="I36" s="43">
        <v>74197</v>
      </c>
      <c r="J36" s="317">
        <v>973624.19</v>
      </c>
      <c r="K36" s="262">
        <v>43118</v>
      </c>
      <c r="L36" s="262">
        <v>43118</v>
      </c>
      <c r="M36" s="32"/>
      <c r="N36" s="32"/>
    </row>
    <row r="37" spans="1:14" s="101" customFormat="1" ht="23.25" customHeight="1" x14ac:dyDescent="0.25">
      <c r="A37" s="104">
        <f t="shared" si="0"/>
        <v>120</v>
      </c>
      <c r="B37" s="286" t="s">
        <v>337</v>
      </c>
      <c r="C37" s="251">
        <v>860026740</v>
      </c>
      <c r="D37" s="40">
        <v>43099</v>
      </c>
      <c r="E37" s="287" t="s">
        <v>338</v>
      </c>
      <c r="F37" s="293">
        <v>331817</v>
      </c>
      <c r="G37" s="276">
        <v>432017</v>
      </c>
      <c r="H37" s="283">
        <v>585149.73</v>
      </c>
      <c r="I37" s="43" t="s">
        <v>339</v>
      </c>
      <c r="J37" s="317">
        <f>3664885.16+0.01</f>
        <v>3664885.17</v>
      </c>
      <c r="K37" s="262">
        <v>43118</v>
      </c>
      <c r="L37" s="262">
        <v>43118</v>
      </c>
      <c r="M37" s="32"/>
      <c r="N37" s="32"/>
    </row>
    <row r="38" spans="1:14" s="101" customFormat="1" ht="23.25" customHeight="1" x14ac:dyDescent="0.25">
      <c r="A38" s="104">
        <f t="shared" si="0"/>
        <v>121</v>
      </c>
      <c r="B38" s="286" t="s">
        <v>340</v>
      </c>
      <c r="C38" s="251">
        <v>830087030</v>
      </c>
      <c r="D38" s="40">
        <v>43099</v>
      </c>
      <c r="E38" s="287" t="s">
        <v>341</v>
      </c>
      <c r="F38" s="293">
        <v>332717</v>
      </c>
      <c r="G38" s="276">
        <v>432117</v>
      </c>
      <c r="H38" s="318">
        <v>23222.18</v>
      </c>
      <c r="I38" s="43">
        <v>81168</v>
      </c>
      <c r="J38" s="317">
        <v>145444.18</v>
      </c>
      <c r="K38" s="262">
        <v>43118</v>
      </c>
      <c r="L38" s="262">
        <v>43118</v>
      </c>
      <c r="M38" s="32"/>
      <c r="N38" s="32"/>
    </row>
    <row r="39" spans="1:14" s="101" customFormat="1" ht="23.25" customHeight="1" x14ac:dyDescent="0.25">
      <c r="A39" s="104">
        <f t="shared" si="0"/>
        <v>122</v>
      </c>
      <c r="B39" s="286" t="s">
        <v>342</v>
      </c>
      <c r="C39" s="251">
        <v>830087030</v>
      </c>
      <c r="D39" s="40">
        <v>43099</v>
      </c>
      <c r="E39" s="287" t="s">
        <v>341</v>
      </c>
      <c r="F39" s="319">
        <v>331917</v>
      </c>
      <c r="G39" s="41">
        <v>432217</v>
      </c>
      <c r="H39" s="261">
        <v>49674.36</v>
      </c>
      <c r="I39" s="43">
        <v>81154</v>
      </c>
      <c r="J39" s="317">
        <v>311118.36</v>
      </c>
      <c r="K39" s="262">
        <v>43118</v>
      </c>
      <c r="L39" s="262">
        <v>43118</v>
      </c>
      <c r="M39" s="32"/>
      <c r="N39" s="32"/>
    </row>
    <row r="40" spans="1:14" s="101" customFormat="1" ht="23.25" customHeight="1" x14ac:dyDescent="0.25">
      <c r="A40" s="104">
        <f t="shared" si="0"/>
        <v>123</v>
      </c>
      <c r="B40" s="300" t="s">
        <v>316</v>
      </c>
      <c r="C40" s="320">
        <v>800242738</v>
      </c>
      <c r="D40" s="40">
        <v>43100</v>
      </c>
      <c r="E40" s="320" t="s">
        <v>317</v>
      </c>
      <c r="F40" s="288">
        <v>301217</v>
      </c>
      <c r="G40" s="251">
        <v>434417</v>
      </c>
      <c r="H40" s="289">
        <v>1923565.05</v>
      </c>
      <c r="I40" s="254">
        <v>16665</v>
      </c>
      <c r="J40" s="291">
        <f>5102808.85+4638027.69+920803.58</f>
        <v>10661640.119999999</v>
      </c>
      <c r="K40" s="271">
        <v>43117</v>
      </c>
      <c r="L40" s="271">
        <v>43117</v>
      </c>
      <c r="M40" s="32"/>
      <c r="N40" s="32"/>
    </row>
    <row r="41" spans="1:14" s="101" customFormat="1" ht="23.25" customHeight="1" x14ac:dyDescent="0.25">
      <c r="A41" s="104">
        <f t="shared" si="0"/>
        <v>124</v>
      </c>
      <c r="B41" s="286" t="s">
        <v>343</v>
      </c>
      <c r="C41" s="251">
        <v>8300776556</v>
      </c>
      <c r="D41" s="40">
        <v>43100</v>
      </c>
      <c r="E41" s="287" t="s">
        <v>344</v>
      </c>
      <c r="F41" s="293">
        <v>332217</v>
      </c>
      <c r="G41" s="41">
        <v>434517</v>
      </c>
      <c r="H41" s="261">
        <v>219306.93</v>
      </c>
      <c r="I41" s="254">
        <v>3020705</v>
      </c>
      <c r="J41" s="294">
        <v>1440303.77</v>
      </c>
      <c r="K41" s="271">
        <v>43118</v>
      </c>
      <c r="L41" s="271">
        <v>43118</v>
      </c>
      <c r="M41" s="32"/>
      <c r="N41" s="32"/>
    </row>
    <row r="42" spans="1:14" s="101" customFormat="1" ht="23.25" customHeight="1" x14ac:dyDescent="0.25">
      <c r="A42" s="104">
        <f t="shared" si="0"/>
        <v>125</v>
      </c>
      <c r="B42" s="286" t="s">
        <v>345</v>
      </c>
      <c r="C42" s="251">
        <v>8300776556</v>
      </c>
      <c r="D42" s="40">
        <v>43100</v>
      </c>
      <c r="E42" s="287" t="s">
        <v>344</v>
      </c>
      <c r="F42" s="319">
        <v>332517</v>
      </c>
      <c r="G42" s="268">
        <v>434617</v>
      </c>
      <c r="H42" s="42">
        <v>124003.22</v>
      </c>
      <c r="I42" s="254">
        <v>3020703</v>
      </c>
      <c r="J42" s="294">
        <v>872844.19</v>
      </c>
      <c r="K42" s="271">
        <v>43118</v>
      </c>
      <c r="L42" s="271">
        <v>43118</v>
      </c>
      <c r="M42" s="32"/>
      <c r="N42" s="32"/>
    </row>
    <row r="43" spans="1:14" s="101" customFormat="1" ht="23.25" customHeight="1" x14ac:dyDescent="0.25">
      <c r="A43" s="104">
        <f t="shared" si="0"/>
        <v>126</v>
      </c>
      <c r="B43" s="279" t="s">
        <v>327</v>
      </c>
      <c r="C43" s="251">
        <v>830096688</v>
      </c>
      <c r="D43" s="304">
        <v>43098</v>
      </c>
      <c r="E43" s="280" t="s">
        <v>328</v>
      </c>
      <c r="F43" s="296">
        <v>297417</v>
      </c>
      <c r="G43" s="297">
        <v>434917</v>
      </c>
      <c r="H43" s="298">
        <v>6146186.7800000003</v>
      </c>
      <c r="I43" s="299">
        <v>6695</v>
      </c>
      <c r="J43" s="305">
        <v>38494538.240000002</v>
      </c>
      <c r="K43" s="271">
        <v>43118</v>
      </c>
      <c r="L43" s="271">
        <v>43118</v>
      </c>
    </row>
    <row r="44" spans="1:14" ht="23.25" customHeight="1" x14ac:dyDescent="0.25">
      <c r="A44" s="104">
        <f t="shared" si="0"/>
        <v>127</v>
      </c>
      <c r="B44" s="300" t="s">
        <v>346</v>
      </c>
      <c r="C44" s="251">
        <v>8300776556</v>
      </c>
      <c r="D44" s="40">
        <v>43100</v>
      </c>
      <c r="E44" s="320" t="s">
        <v>344</v>
      </c>
      <c r="F44" s="319">
        <v>332017</v>
      </c>
      <c r="G44" s="41">
        <v>435317</v>
      </c>
      <c r="H44" s="261">
        <v>177474.75</v>
      </c>
      <c r="I44" s="254" t="s">
        <v>347</v>
      </c>
      <c r="J44" s="294">
        <f>1165395.16-0.13</f>
        <v>1165395.03</v>
      </c>
      <c r="K44" s="271">
        <v>43118</v>
      </c>
      <c r="L44" s="271">
        <v>43118</v>
      </c>
    </row>
    <row r="45" spans="1:14" ht="23.25" customHeight="1" x14ac:dyDescent="0.25">
      <c r="A45" s="104">
        <f t="shared" si="0"/>
        <v>128</v>
      </c>
      <c r="B45" s="300" t="s">
        <v>348</v>
      </c>
      <c r="C45" s="251">
        <v>830113914</v>
      </c>
      <c r="D45" s="40">
        <v>43100</v>
      </c>
      <c r="E45" s="320" t="s">
        <v>336</v>
      </c>
      <c r="F45" s="319">
        <v>332817</v>
      </c>
      <c r="G45" s="41">
        <v>435517</v>
      </c>
      <c r="H45" s="42">
        <v>15238865.83</v>
      </c>
      <c r="I45" s="254">
        <v>74208</v>
      </c>
      <c r="J45" s="294">
        <v>101903130.83</v>
      </c>
      <c r="K45" s="271">
        <v>43118</v>
      </c>
      <c r="L45" s="271">
        <v>43118</v>
      </c>
    </row>
  </sheetData>
  <mergeCells count="10">
    <mergeCell ref="A8:H8"/>
    <mergeCell ref="A23:A24"/>
    <mergeCell ref="C23:C24"/>
    <mergeCell ref="E23:E24"/>
    <mergeCell ref="I23:I24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75"/>
  <sheetViews>
    <sheetView zoomScale="70" zoomScaleNormal="70" workbookViewId="0">
      <pane ySplit="10" topLeftCell="A11" activePane="bottomLeft" state="frozen"/>
      <selection activeCell="A6" sqref="A6"/>
      <selection pane="bottomLeft" activeCell="K25" sqref="K25"/>
    </sheetView>
  </sheetViews>
  <sheetFormatPr baseColWidth="10" defaultRowHeight="23.25" customHeight="1" x14ac:dyDescent="0.25"/>
  <cols>
    <col min="1" max="1" width="9.5703125" style="25" customWidth="1"/>
    <col min="2" max="2" width="29.570312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7" hidden="1" customWidth="1"/>
    <col min="9" max="9" width="32.140625" style="23" customWidth="1"/>
    <col min="10" max="10" width="27.140625" style="17" customWidth="1"/>
    <col min="11" max="11" width="23.28515625" customWidth="1"/>
    <col min="12" max="12" width="28.140625" hidden="1" customWidth="1"/>
    <col min="13" max="13" width="29.140625" style="10" hidden="1" customWidth="1"/>
    <col min="14" max="14" width="34.140625" style="10" customWidth="1"/>
    <col min="15" max="15" width="43.28515625" style="10" customWidth="1"/>
    <col min="16" max="16" width="32" style="10" customWidth="1"/>
    <col min="17" max="17" width="40.5703125" style="10" customWidth="1"/>
    <col min="18" max="18" width="34.42578125" style="10" customWidth="1"/>
    <col min="19" max="19" width="34" style="10" customWidth="1"/>
    <col min="20" max="20" width="44.28515625" style="10" customWidth="1"/>
    <col min="21" max="21" width="33.5703125" style="10" customWidth="1"/>
    <col min="22" max="110" width="11.42578125" style="10"/>
  </cols>
  <sheetData>
    <row r="1" spans="1:110" ht="23.25" customHeight="1" x14ac:dyDescent="0.25">
      <c r="A1" s="382" t="s">
        <v>11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18" t="s">
        <v>14</v>
      </c>
    </row>
    <row r="2" spans="1:110" ht="23.25" customHeight="1" x14ac:dyDescent="0.25">
      <c r="A2" s="382" t="s">
        <v>12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26"/>
    </row>
    <row r="3" spans="1:110" ht="23.25" customHeight="1" x14ac:dyDescent="0.25">
      <c r="A3" s="382" t="s">
        <v>13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26"/>
    </row>
    <row r="4" spans="1:110" ht="23.25" customHeight="1" x14ac:dyDescent="0.25">
      <c r="A4" s="11"/>
      <c r="B4" s="12"/>
      <c r="C4" s="13"/>
      <c r="D4" s="14"/>
      <c r="E4" s="15"/>
      <c r="F4" s="16"/>
      <c r="H4"/>
      <c r="I4" s="11"/>
      <c r="J4" s="12"/>
      <c r="K4" s="13"/>
      <c r="L4" s="26"/>
    </row>
    <row r="5" spans="1:110" ht="23.25" customHeight="1" x14ac:dyDescent="0.25">
      <c r="A5" s="382" t="s">
        <v>127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26"/>
    </row>
    <row r="6" spans="1:110" ht="23.25" customHeight="1" x14ac:dyDescent="0.25">
      <c r="A6" s="10"/>
      <c r="H6"/>
      <c r="I6"/>
      <c r="J6"/>
      <c r="L6" t="s">
        <v>15</v>
      </c>
    </row>
    <row r="7" spans="1:110" ht="23.25" customHeight="1" x14ac:dyDescent="0.25">
      <c r="A7" s="383" t="s">
        <v>24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t="s">
        <v>16</v>
      </c>
    </row>
    <row r="8" spans="1:110" ht="23.25" customHeight="1" x14ac:dyDescent="0.25">
      <c r="A8" s="382" t="s">
        <v>17</v>
      </c>
      <c r="B8" s="382"/>
      <c r="C8" s="382"/>
      <c r="D8" s="382"/>
      <c r="E8" s="382"/>
      <c r="F8" s="382"/>
      <c r="G8" s="382"/>
      <c r="H8" s="382"/>
      <c r="I8" s="27"/>
      <c r="J8" s="28"/>
      <c r="K8" s="10"/>
      <c r="L8" t="s">
        <v>18</v>
      </c>
    </row>
    <row r="9" spans="1:110" ht="23.25" customHeight="1" x14ac:dyDescent="0.25">
      <c r="G9" s="20" t="s">
        <v>19</v>
      </c>
      <c r="H9" s="19">
        <f>10399521*0.16</f>
        <v>1663923.36</v>
      </c>
      <c r="I9" s="28"/>
      <c r="J9" s="29" t="s">
        <v>23</v>
      </c>
      <c r="K9" s="24"/>
      <c r="L9" t="s">
        <v>20</v>
      </c>
    </row>
    <row r="10" spans="1:110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</row>
    <row r="11" spans="1:110" ht="23.25" customHeight="1" x14ac:dyDescent="0.25">
      <c r="A11" s="421">
        <v>118</v>
      </c>
      <c r="B11" s="34" t="s">
        <v>349</v>
      </c>
      <c r="C11" s="68">
        <v>901022873</v>
      </c>
      <c r="D11" s="67">
        <v>43062</v>
      </c>
      <c r="E11" s="50" t="s">
        <v>350</v>
      </c>
      <c r="F11" s="68">
        <v>2317</v>
      </c>
      <c r="G11" s="74">
        <v>368517</v>
      </c>
      <c r="H11" s="45">
        <v>6854433.5999999996</v>
      </c>
      <c r="I11" s="36" t="s">
        <v>351</v>
      </c>
      <c r="J11" s="321">
        <v>1058266942.73</v>
      </c>
      <c r="K11" s="107">
        <v>43112</v>
      </c>
      <c r="L11" s="107">
        <v>43112</v>
      </c>
      <c r="M11" s="22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422"/>
      <c r="B12" s="90" t="s">
        <v>352</v>
      </c>
      <c r="C12" s="68">
        <v>901022873</v>
      </c>
      <c r="D12" s="67">
        <v>43062</v>
      </c>
      <c r="E12" s="322" t="s">
        <v>350</v>
      </c>
      <c r="F12" s="89">
        <v>248217</v>
      </c>
      <c r="G12" s="74">
        <v>368817</v>
      </c>
      <c r="H12" s="323"/>
      <c r="I12" s="73">
        <v>21</v>
      </c>
      <c r="J12" s="56">
        <v>295870781.47000003</v>
      </c>
      <c r="K12" s="107">
        <v>43112</v>
      </c>
      <c r="L12" s="107">
        <v>43112</v>
      </c>
      <c r="M12" s="9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104">
        <f>A11+1</f>
        <v>119</v>
      </c>
      <c r="B13" s="34" t="s">
        <v>36</v>
      </c>
      <c r="C13" s="68" t="s">
        <v>353</v>
      </c>
      <c r="D13" s="67">
        <v>43062</v>
      </c>
      <c r="E13" s="50" t="s">
        <v>37</v>
      </c>
      <c r="F13" s="68">
        <v>2117</v>
      </c>
      <c r="G13" s="78">
        <v>368717</v>
      </c>
      <c r="H13" s="45"/>
      <c r="I13" s="36"/>
      <c r="J13" s="324">
        <v>72357934.290000007</v>
      </c>
      <c r="K13" s="107">
        <v>43097</v>
      </c>
      <c r="L13" s="107">
        <v>43097</v>
      </c>
    </row>
    <row r="14" spans="1:110" ht="23.25" customHeight="1" x14ac:dyDescent="0.25">
      <c r="A14" s="205">
        <f t="shared" ref="A14:A48" si="0">A13+1</f>
        <v>120</v>
      </c>
      <c r="B14" s="85" t="s">
        <v>108</v>
      </c>
      <c r="C14" s="68">
        <v>800242107</v>
      </c>
      <c r="D14" s="67">
        <v>43068</v>
      </c>
      <c r="E14" s="68" t="s">
        <v>25</v>
      </c>
      <c r="F14" s="68">
        <v>2517</v>
      </c>
      <c r="G14" s="78">
        <v>367817</v>
      </c>
      <c r="H14" s="48">
        <v>5324386.25</v>
      </c>
      <c r="I14" s="81">
        <v>720</v>
      </c>
      <c r="J14" s="86">
        <f>1070695056.82-(3822824594.62*11.7000000000004%)</f>
        <v>623424579.24944472</v>
      </c>
      <c r="K14" s="107">
        <v>43112</v>
      </c>
      <c r="L14" s="107">
        <v>43112</v>
      </c>
    </row>
    <row r="15" spans="1:110" ht="23.25" customHeight="1" x14ac:dyDescent="0.25">
      <c r="A15" s="205">
        <f t="shared" si="0"/>
        <v>121</v>
      </c>
      <c r="B15" s="79" t="s">
        <v>354</v>
      </c>
      <c r="C15" s="71">
        <v>890916911</v>
      </c>
      <c r="D15" s="67">
        <v>43062</v>
      </c>
      <c r="E15" s="322" t="s">
        <v>355</v>
      </c>
      <c r="F15" s="71">
        <v>218617</v>
      </c>
      <c r="G15" s="62"/>
      <c r="H15" s="47"/>
      <c r="I15" s="325" t="s">
        <v>68</v>
      </c>
      <c r="J15" s="56">
        <f>1386893495+177454210+74329460</f>
        <v>1638677165</v>
      </c>
      <c r="K15" s="107">
        <v>43112</v>
      </c>
      <c r="L15" s="107">
        <v>43112</v>
      </c>
    </row>
    <row r="16" spans="1:110" ht="23.25" customHeight="1" x14ac:dyDescent="0.25">
      <c r="A16" s="205">
        <f t="shared" si="0"/>
        <v>122</v>
      </c>
      <c r="B16" s="68" t="s">
        <v>63</v>
      </c>
      <c r="C16" s="68">
        <v>901031126</v>
      </c>
      <c r="D16" s="67">
        <v>43068</v>
      </c>
      <c r="E16" s="68" t="s">
        <v>64</v>
      </c>
      <c r="F16" s="68">
        <v>2717</v>
      </c>
      <c r="G16" s="78">
        <v>368217</v>
      </c>
      <c r="H16" s="47">
        <v>8784996.4800000004</v>
      </c>
      <c r="I16" s="38" t="s">
        <v>65</v>
      </c>
      <c r="J16" s="51">
        <f>63691224.48-63561665.65</f>
        <v>129558.82999999821</v>
      </c>
      <c r="K16" s="30">
        <v>43097</v>
      </c>
      <c r="L16" s="30">
        <v>43097</v>
      </c>
    </row>
    <row r="17" spans="1:12" ht="23.25" customHeight="1" x14ac:dyDescent="0.25">
      <c r="A17" s="205">
        <f t="shared" si="0"/>
        <v>123</v>
      </c>
      <c r="B17" s="34" t="s">
        <v>356</v>
      </c>
      <c r="C17" s="68">
        <v>901024990</v>
      </c>
      <c r="D17" s="67">
        <v>43068</v>
      </c>
      <c r="E17" s="68" t="s">
        <v>357</v>
      </c>
      <c r="F17" s="68">
        <v>4017</v>
      </c>
      <c r="G17" s="74">
        <v>368317</v>
      </c>
      <c r="H17" s="48">
        <v>8439135.6099999994</v>
      </c>
      <c r="I17" s="81" t="s">
        <v>214</v>
      </c>
      <c r="J17" s="48">
        <f>1327054075.64-(934500000*23.3120830667876%)</f>
        <v>1109202659.3808699</v>
      </c>
      <c r="K17" s="30">
        <v>43112</v>
      </c>
      <c r="L17" s="30">
        <v>43112</v>
      </c>
    </row>
    <row r="18" spans="1:12" ht="23.25" customHeight="1" x14ac:dyDescent="0.25">
      <c r="A18" s="205">
        <f t="shared" si="0"/>
        <v>124</v>
      </c>
      <c r="B18" s="35" t="s">
        <v>358</v>
      </c>
      <c r="C18" s="68">
        <v>901017447</v>
      </c>
      <c r="D18" s="67">
        <v>43068</v>
      </c>
      <c r="E18" s="68" t="s">
        <v>359</v>
      </c>
      <c r="F18" s="68">
        <v>3917</v>
      </c>
      <c r="G18" s="74">
        <v>368417</v>
      </c>
      <c r="H18" s="45">
        <v>10521694.220000001</v>
      </c>
      <c r="I18" s="81">
        <v>7</v>
      </c>
      <c r="J18" s="45">
        <v>76282283.099999994</v>
      </c>
      <c r="K18" s="30">
        <v>43112</v>
      </c>
      <c r="L18" s="30">
        <v>43112</v>
      </c>
    </row>
    <row r="19" spans="1:12" ht="23.25" customHeight="1" x14ac:dyDescent="0.25">
      <c r="A19" s="205">
        <f t="shared" si="0"/>
        <v>125</v>
      </c>
      <c r="B19" s="75" t="s">
        <v>47</v>
      </c>
      <c r="C19" s="68" t="s">
        <v>48</v>
      </c>
      <c r="D19" s="67">
        <v>43068</v>
      </c>
      <c r="E19" s="76" t="s">
        <v>49</v>
      </c>
      <c r="F19" s="77">
        <v>148317</v>
      </c>
      <c r="G19" s="74">
        <v>368917</v>
      </c>
      <c r="H19" s="48">
        <v>2480731.8199999998</v>
      </c>
      <c r="I19" s="87">
        <v>13</v>
      </c>
      <c r="J19" s="48">
        <f>331504110.15-(331504110.15*0.2)</f>
        <v>265203288.11999997</v>
      </c>
      <c r="K19" s="30">
        <v>43112</v>
      </c>
      <c r="L19" s="30">
        <v>43112</v>
      </c>
    </row>
    <row r="20" spans="1:12" ht="23.25" customHeight="1" x14ac:dyDescent="0.25">
      <c r="A20" s="205">
        <f t="shared" si="0"/>
        <v>126</v>
      </c>
      <c r="B20" s="75" t="s">
        <v>50</v>
      </c>
      <c r="C20" s="80">
        <v>79508558</v>
      </c>
      <c r="D20" s="67">
        <v>43068</v>
      </c>
      <c r="E20" s="76" t="s">
        <v>51</v>
      </c>
      <c r="F20" s="77">
        <v>146617</v>
      </c>
      <c r="G20" s="74">
        <v>369017</v>
      </c>
      <c r="H20" s="47">
        <v>3642799.27</v>
      </c>
      <c r="I20" s="73">
        <v>566</v>
      </c>
      <c r="J20" s="48">
        <v>22815427.030000001</v>
      </c>
      <c r="K20" s="107">
        <v>43097</v>
      </c>
      <c r="L20" s="107">
        <v>43097</v>
      </c>
    </row>
    <row r="21" spans="1:12" ht="23.25" customHeight="1" x14ac:dyDescent="0.25">
      <c r="A21" s="205">
        <f t="shared" si="0"/>
        <v>127</v>
      </c>
      <c r="B21" s="75" t="s">
        <v>43</v>
      </c>
      <c r="C21" s="71">
        <v>830008233</v>
      </c>
      <c r="D21" s="67">
        <v>43068</v>
      </c>
      <c r="E21" s="76" t="s">
        <v>44</v>
      </c>
      <c r="F21" s="77">
        <v>69217</v>
      </c>
      <c r="G21" s="74">
        <v>369117</v>
      </c>
      <c r="H21" s="47">
        <v>1177842.06</v>
      </c>
      <c r="I21" s="88">
        <v>1007</v>
      </c>
      <c r="J21" s="48">
        <f>157905226.21-(157905226.21*0.2)</f>
        <v>126324180.96800001</v>
      </c>
      <c r="K21" s="30">
        <v>43112</v>
      </c>
      <c r="L21" s="30">
        <v>43112</v>
      </c>
    </row>
    <row r="22" spans="1:12" ht="23.25" customHeight="1" x14ac:dyDescent="0.25">
      <c r="A22" s="205">
        <f t="shared" si="0"/>
        <v>128</v>
      </c>
      <c r="B22" s="75" t="s">
        <v>45</v>
      </c>
      <c r="C22" s="71">
        <v>900837734</v>
      </c>
      <c r="D22" s="67">
        <v>43068</v>
      </c>
      <c r="E22" s="76" t="s">
        <v>46</v>
      </c>
      <c r="F22" s="77">
        <v>158817</v>
      </c>
      <c r="G22" s="74">
        <v>369217</v>
      </c>
      <c r="H22" s="47">
        <v>1282215.17</v>
      </c>
      <c r="I22" s="88">
        <v>32</v>
      </c>
      <c r="J22" s="48">
        <v>8030716.0700000003</v>
      </c>
      <c r="K22" s="107">
        <v>43097</v>
      </c>
      <c r="L22" s="107">
        <v>43097</v>
      </c>
    </row>
    <row r="23" spans="1:12" ht="23.25" customHeight="1" x14ac:dyDescent="0.25">
      <c r="A23" s="205">
        <f t="shared" si="0"/>
        <v>129</v>
      </c>
      <c r="B23" s="326" t="s">
        <v>360</v>
      </c>
      <c r="C23" s="71">
        <v>900900730</v>
      </c>
      <c r="D23" s="67">
        <v>43068</v>
      </c>
      <c r="E23" s="71" t="s">
        <v>62</v>
      </c>
      <c r="F23" s="71">
        <v>304617</v>
      </c>
      <c r="G23" s="71">
        <v>369317</v>
      </c>
      <c r="H23" s="47"/>
      <c r="I23" s="327" t="s">
        <v>361</v>
      </c>
      <c r="J23" s="47">
        <f>3068839575*0.5</f>
        <v>1534419787.5</v>
      </c>
      <c r="K23" s="107">
        <v>43119</v>
      </c>
      <c r="L23" s="107">
        <v>43119</v>
      </c>
    </row>
    <row r="24" spans="1:12" ht="23.25" customHeight="1" x14ac:dyDescent="0.25">
      <c r="A24" s="385">
        <f t="shared" si="0"/>
        <v>130</v>
      </c>
      <c r="B24" s="83" t="s">
        <v>362</v>
      </c>
      <c r="C24" s="413">
        <v>901086911</v>
      </c>
      <c r="D24" s="415">
        <v>43068</v>
      </c>
      <c r="E24" s="417" t="s">
        <v>363</v>
      </c>
      <c r="F24" s="77">
        <v>164817</v>
      </c>
      <c r="G24" s="74">
        <v>370017</v>
      </c>
      <c r="H24" s="48">
        <f>3805273.08</f>
        <v>3805273.08</v>
      </c>
      <c r="I24" s="81" t="s">
        <v>364</v>
      </c>
      <c r="J24" s="47">
        <f>498490773.42-(498490773.42*0.2)</f>
        <v>398792618.736</v>
      </c>
      <c r="K24" s="107">
        <v>43116</v>
      </c>
      <c r="L24" s="107">
        <v>43116</v>
      </c>
    </row>
    <row r="25" spans="1:12" ht="23.25" customHeight="1" x14ac:dyDescent="0.25">
      <c r="A25" s="387"/>
      <c r="B25" s="75" t="s">
        <v>365</v>
      </c>
      <c r="C25" s="414"/>
      <c r="D25" s="416"/>
      <c r="E25" s="418"/>
      <c r="F25" s="328">
        <v>303817</v>
      </c>
      <c r="G25" s="329" t="s">
        <v>366</v>
      </c>
      <c r="H25" s="48"/>
      <c r="I25" s="325" t="s">
        <v>367</v>
      </c>
      <c r="J25" s="48">
        <v>278216796</v>
      </c>
      <c r="K25" s="107">
        <v>43116</v>
      </c>
      <c r="L25" s="107">
        <v>43116</v>
      </c>
    </row>
    <row r="26" spans="1:12" ht="23.25" customHeight="1" x14ac:dyDescent="0.25">
      <c r="A26" s="205">
        <f>A24+1</f>
        <v>131</v>
      </c>
      <c r="B26" s="75" t="s">
        <v>368</v>
      </c>
      <c r="C26" s="71">
        <v>901090421</v>
      </c>
      <c r="D26" s="67">
        <v>43068</v>
      </c>
      <c r="E26" s="75" t="s">
        <v>369</v>
      </c>
      <c r="F26" s="328">
        <v>182417</v>
      </c>
      <c r="G26" s="74">
        <v>370117</v>
      </c>
      <c r="H26" s="47">
        <v>4332664.84</v>
      </c>
      <c r="I26" s="88">
        <v>4</v>
      </c>
      <c r="J26" s="48">
        <v>27136164.030000001</v>
      </c>
      <c r="K26" s="106">
        <v>43097</v>
      </c>
      <c r="L26" s="106">
        <v>43097</v>
      </c>
    </row>
    <row r="27" spans="1:12" ht="23.25" customHeight="1" x14ac:dyDescent="0.25">
      <c r="A27" s="205">
        <f t="shared" si="0"/>
        <v>132</v>
      </c>
      <c r="B27" s="330" t="s">
        <v>370</v>
      </c>
      <c r="C27" s="91">
        <v>800141397</v>
      </c>
      <c r="D27" s="67">
        <v>43069</v>
      </c>
      <c r="E27" s="69" t="s">
        <v>172</v>
      </c>
      <c r="F27" s="331">
        <v>200017</v>
      </c>
      <c r="G27" s="78">
        <v>371017</v>
      </c>
      <c r="H27" s="48">
        <v>0</v>
      </c>
      <c r="I27" s="332">
        <v>6132140270043</v>
      </c>
      <c r="J27" s="48">
        <v>425700000</v>
      </c>
      <c r="K27" s="106">
        <v>43116</v>
      </c>
      <c r="L27" s="106">
        <v>43116</v>
      </c>
    </row>
    <row r="28" spans="1:12" ht="23.25" customHeight="1" x14ac:dyDescent="0.25">
      <c r="A28" s="385">
        <f t="shared" si="0"/>
        <v>133</v>
      </c>
      <c r="B28" s="34" t="s">
        <v>371</v>
      </c>
      <c r="C28" s="68">
        <v>891410137</v>
      </c>
      <c r="D28" s="67">
        <v>43069</v>
      </c>
      <c r="E28" s="333" t="s">
        <v>91</v>
      </c>
      <c r="F28" s="334">
        <v>218717</v>
      </c>
      <c r="G28" s="78" t="s">
        <v>372</v>
      </c>
      <c r="H28" s="45"/>
      <c r="I28" s="419" t="s">
        <v>373</v>
      </c>
      <c r="J28" s="335">
        <v>2517635608.9000001</v>
      </c>
      <c r="K28" s="107">
        <v>43116</v>
      </c>
      <c r="L28" s="107">
        <v>43116</v>
      </c>
    </row>
    <row r="29" spans="1:12" ht="23.25" customHeight="1" x14ac:dyDescent="0.25">
      <c r="A29" s="387"/>
      <c r="B29" s="336" t="s">
        <v>374</v>
      </c>
      <c r="C29" s="337">
        <v>891410137</v>
      </c>
      <c r="D29" s="67">
        <v>43069</v>
      </c>
      <c r="E29" s="338" t="s">
        <v>91</v>
      </c>
      <c r="F29" s="339">
        <v>281117</v>
      </c>
      <c r="G29" s="60" t="s">
        <v>375</v>
      </c>
      <c r="H29" s="46"/>
      <c r="I29" s="420"/>
      <c r="J29" s="335">
        <v>1251863010</v>
      </c>
      <c r="K29" s="107">
        <v>43116</v>
      </c>
      <c r="L29" s="107">
        <v>43116</v>
      </c>
    </row>
    <row r="30" spans="1:12" ht="23.25" customHeight="1" x14ac:dyDescent="0.25">
      <c r="A30" s="205">
        <f>A28+1</f>
        <v>134</v>
      </c>
      <c r="B30" s="75" t="s">
        <v>34</v>
      </c>
      <c r="C30" s="71">
        <v>901071893</v>
      </c>
      <c r="D30" s="72">
        <v>43073</v>
      </c>
      <c r="E30" s="76" t="s">
        <v>35</v>
      </c>
      <c r="F30" s="77">
        <v>97517</v>
      </c>
      <c r="G30" s="74">
        <v>373617</v>
      </c>
      <c r="H30" s="323">
        <v>1559079.15</v>
      </c>
      <c r="I30" s="93" t="s">
        <v>376</v>
      </c>
      <c r="J30" s="47">
        <f>206701072*50%</f>
        <v>103350536</v>
      </c>
      <c r="K30" s="106">
        <v>43116</v>
      </c>
      <c r="L30" s="106">
        <v>43116</v>
      </c>
    </row>
    <row r="31" spans="1:12" ht="23.25" customHeight="1" x14ac:dyDescent="0.25">
      <c r="A31" s="385">
        <f t="shared" si="0"/>
        <v>135</v>
      </c>
      <c r="B31" s="340" t="s">
        <v>377</v>
      </c>
      <c r="C31" s="409">
        <v>800015583</v>
      </c>
      <c r="D31" s="410">
        <v>43073</v>
      </c>
      <c r="E31" s="411" t="s">
        <v>166</v>
      </c>
      <c r="F31" s="341">
        <v>248117</v>
      </c>
      <c r="G31" s="342">
        <v>9</v>
      </c>
      <c r="H31" s="55">
        <v>0</v>
      </c>
      <c r="I31" s="412" t="s">
        <v>167</v>
      </c>
      <c r="J31" s="343">
        <v>3199170123</v>
      </c>
      <c r="K31" s="106">
        <v>43116</v>
      </c>
      <c r="L31" s="106">
        <v>43116</v>
      </c>
    </row>
    <row r="32" spans="1:12" ht="23.25" customHeight="1" x14ac:dyDescent="0.25">
      <c r="A32" s="387"/>
      <c r="B32" s="340" t="s">
        <v>165</v>
      </c>
      <c r="C32" s="409"/>
      <c r="D32" s="410"/>
      <c r="E32" s="411"/>
      <c r="F32" s="341">
        <v>287917</v>
      </c>
      <c r="G32" s="342" t="s">
        <v>378</v>
      </c>
      <c r="H32" s="55">
        <v>0</v>
      </c>
      <c r="I32" s="412"/>
      <c r="J32" s="343">
        <v>903507203.01999998</v>
      </c>
      <c r="K32" s="106">
        <v>43116</v>
      </c>
      <c r="L32" s="106">
        <v>43116</v>
      </c>
    </row>
    <row r="33" spans="1:12" ht="23.25" customHeight="1" x14ac:dyDescent="0.25">
      <c r="A33" s="205">
        <f>A31+1</f>
        <v>136</v>
      </c>
      <c r="B33" s="85" t="s">
        <v>379</v>
      </c>
      <c r="C33" s="68">
        <v>901016729</v>
      </c>
      <c r="D33" s="67">
        <v>43074</v>
      </c>
      <c r="E33" s="68" t="s">
        <v>380</v>
      </c>
      <c r="F33" s="68">
        <v>3317</v>
      </c>
      <c r="G33" s="68">
        <v>374317</v>
      </c>
      <c r="H33" s="48">
        <v>17958076.210000001</v>
      </c>
      <c r="I33" s="81">
        <v>6</v>
      </c>
      <c r="J33" s="86">
        <f>2857578876.42-(2857578876.42*0.5)</f>
        <v>1428789438.21</v>
      </c>
      <c r="K33" s="106">
        <v>43116</v>
      </c>
      <c r="L33" s="106">
        <v>43116</v>
      </c>
    </row>
    <row r="34" spans="1:12" ht="23.25" customHeight="1" x14ac:dyDescent="0.25">
      <c r="A34" s="104">
        <f t="shared" si="0"/>
        <v>137</v>
      </c>
      <c r="B34" s="34" t="s">
        <v>381</v>
      </c>
      <c r="C34" s="68">
        <v>901016878</v>
      </c>
      <c r="D34" s="67">
        <v>43074</v>
      </c>
      <c r="E34" s="68" t="s">
        <v>382</v>
      </c>
      <c r="F34" s="344">
        <v>3417</v>
      </c>
      <c r="G34" s="78">
        <v>374417</v>
      </c>
      <c r="H34" s="48">
        <v>19765537.960000001</v>
      </c>
      <c r="I34" s="82">
        <v>8</v>
      </c>
      <c r="J34" s="48">
        <v>143300150.18000001</v>
      </c>
      <c r="K34" s="106">
        <v>43116</v>
      </c>
      <c r="L34" s="106">
        <v>43116</v>
      </c>
    </row>
    <row r="35" spans="1:12" ht="23.25" customHeight="1" x14ac:dyDescent="0.25">
      <c r="A35" s="385">
        <f t="shared" si="0"/>
        <v>138</v>
      </c>
      <c r="B35" s="340" t="s">
        <v>383</v>
      </c>
      <c r="C35" s="52">
        <v>900127140</v>
      </c>
      <c r="D35" s="345">
        <v>43075</v>
      </c>
      <c r="E35" s="340" t="s">
        <v>183</v>
      </c>
      <c r="F35" s="341">
        <v>189117</v>
      </c>
      <c r="G35" s="52">
        <v>376517</v>
      </c>
      <c r="H35" s="346">
        <v>0</v>
      </c>
      <c r="I35" s="347">
        <v>13513</v>
      </c>
      <c r="J35" s="346">
        <v>2071870212.8800001</v>
      </c>
      <c r="K35" s="106">
        <v>43116</v>
      </c>
      <c r="L35" s="106">
        <v>43116</v>
      </c>
    </row>
    <row r="36" spans="1:12" ht="23.25" customHeight="1" x14ac:dyDescent="0.25">
      <c r="A36" s="386"/>
      <c r="B36" s="340" t="s">
        <v>182</v>
      </c>
      <c r="C36" s="52">
        <v>900127140</v>
      </c>
      <c r="D36" s="345">
        <v>43075</v>
      </c>
      <c r="E36" s="340" t="s">
        <v>183</v>
      </c>
      <c r="F36" s="348">
        <v>229317</v>
      </c>
      <c r="G36" s="52">
        <v>376617</v>
      </c>
      <c r="H36" s="346">
        <v>0</v>
      </c>
      <c r="I36" s="347">
        <v>13516</v>
      </c>
      <c r="J36" s="346">
        <v>41997369.18</v>
      </c>
      <c r="K36" s="106">
        <v>43116</v>
      </c>
      <c r="L36" s="106">
        <v>43116</v>
      </c>
    </row>
    <row r="37" spans="1:12" ht="23.25" customHeight="1" x14ac:dyDescent="0.25">
      <c r="A37" s="387"/>
      <c r="B37" s="340" t="s">
        <v>184</v>
      </c>
      <c r="C37" s="52">
        <v>900127140</v>
      </c>
      <c r="D37" s="345">
        <v>43075</v>
      </c>
      <c r="E37" s="340" t="s">
        <v>183</v>
      </c>
      <c r="F37" s="348">
        <v>259717</v>
      </c>
      <c r="G37" s="349">
        <v>376717</v>
      </c>
      <c r="H37" s="346">
        <v>0</v>
      </c>
      <c r="I37" s="347">
        <v>13517</v>
      </c>
      <c r="J37" s="55">
        <v>1097315876.78</v>
      </c>
      <c r="K37" s="106">
        <v>43116</v>
      </c>
      <c r="L37" s="106">
        <v>43116</v>
      </c>
    </row>
    <row r="38" spans="1:12" ht="23.25" customHeight="1" x14ac:dyDescent="0.25">
      <c r="A38" s="104">
        <f>A35+1</f>
        <v>139</v>
      </c>
      <c r="B38" s="34" t="s">
        <v>349</v>
      </c>
      <c r="C38" s="68">
        <v>901022873</v>
      </c>
      <c r="D38" s="67">
        <v>43075</v>
      </c>
      <c r="E38" s="50" t="s">
        <v>350</v>
      </c>
      <c r="F38" s="68">
        <v>2317</v>
      </c>
      <c r="G38" s="74">
        <v>377117</v>
      </c>
      <c r="H38" s="45">
        <v>202698820</v>
      </c>
      <c r="I38" s="36" t="s">
        <v>384</v>
      </c>
      <c r="J38" s="321">
        <f>1469566445*0.5</f>
        <v>734783222.5</v>
      </c>
      <c r="K38" s="106">
        <v>43116</v>
      </c>
      <c r="L38" s="106">
        <v>43116</v>
      </c>
    </row>
    <row r="39" spans="1:12" ht="23.25" customHeight="1" x14ac:dyDescent="0.25">
      <c r="A39" s="104">
        <f t="shared" si="0"/>
        <v>140</v>
      </c>
      <c r="B39" s="34" t="s">
        <v>36</v>
      </c>
      <c r="C39" s="68" t="s">
        <v>353</v>
      </c>
      <c r="D39" s="67">
        <v>43075</v>
      </c>
      <c r="E39" s="50" t="s">
        <v>37</v>
      </c>
      <c r="F39" s="68">
        <v>2117</v>
      </c>
      <c r="G39" s="78">
        <v>377217</v>
      </c>
      <c r="H39" s="45">
        <v>7130520.04</v>
      </c>
      <c r="I39" s="36" t="s">
        <v>385</v>
      </c>
      <c r="J39" s="324">
        <v>51696270.310000002</v>
      </c>
      <c r="K39" s="106">
        <v>43116</v>
      </c>
      <c r="L39" s="106">
        <v>43116</v>
      </c>
    </row>
    <row r="40" spans="1:12" ht="23.25" customHeight="1" x14ac:dyDescent="0.25">
      <c r="A40" s="104">
        <f t="shared" si="0"/>
        <v>141</v>
      </c>
      <c r="B40" s="340" t="s">
        <v>386</v>
      </c>
      <c r="C40" s="350">
        <v>830065957</v>
      </c>
      <c r="D40" s="345">
        <v>43076</v>
      </c>
      <c r="E40" s="52" t="s">
        <v>387</v>
      </c>
      <c r="F40" s="341">
        <v>303317</v>
      </c>
      <c r="G40" s="342">
        <v>377617</v>
      </c>
      <c r="H40" s="346">
        <v>0</v>
      </c>
      <c r="I40" s="351">
        <v>9313</v>
      </c>
      <c r="J40" s="352">
        <v>91232970</v>
      </c>
      <c r="K40" s="106">
        <v>43116</v>
      </c>
      <c r="L40" s="106">
        <v>43116</v>
      </c>
    </row>
    <row r="41" spans="1:12" ht="23.25" customHeight="1" x14ac:dyDescent="0.25">
      <c r="A41" s="104">
        <f t="shared" si="0"/>
        <v>142</v>
      </c>
      <c r="B41" s="52" t="s">
        <v>59</v>
      </c>
      <c r="C41" s="52">
        <v>860020227</v>
      </c>
      <c r="D41" s="345">
        <v>43078</v>
      </c>
      <c r="E41" s="353" t="s">
        <v>53</v>
      </c>
      <c r="F41" s="52">
        <v>259417</v>
      </c>
      <c r="G41" s="349">
        <v>378317</v>
      </c>
      <c r="H41" s="346">
        <v>11111258.51</v>
      </c>
      <c r="I41" s="354">
        <v>15246</v>
      </c>
      <c r="J41" s="352">
        <f>2167649.78+714119.95+1437973.88+1246723.35</f>
        <v>5566466.959999999</v>
      </c>
      <c r="K41" s="106">
        <v>43117</v>
      </c>
      <c r="L41" s="106">
        <v>43117</v>
      </c>
    </row>
    <row r="42" spans="1:12" ht="23.25" customHeight="1" x14ac:dyDescent="0.25">
      <c r="A42" s="104">
        <f t="shared" si="0"/>
        <v>143</v>
      </c>
      <c r="B42" s="75" t="s">
        <v>388</v>
      </c>
      <c r="C42" s="350">
        <v>900372035</v>
      </c>
      <c r="D42" s="345">
        <v>43081</v>
      </c>
      <c r="E42" s="75" t="s">
        <v>389</v>
      </c>
      <c r="F42" s="328">
        <v>214817</v>
      </c>
      <c r="G42" s="78">
        <v>381717</v>
      </c>
      <c r="H42" s="48">
        <v>0</v>
      </c>
      <c r="I42" s="82">
        <v>654</v>
      </c>
      <c r="J42" s="48">
        <v>69420000</v>
      </c>
      <c r="K42" s="106">
        <v>43117</v>
      </c>
      <c r="L42" s="106">
        <v>43117</v>
      </c>
    </row>
    <row r="43" spans="1:12" ht="23.25" customHeight="1" x14ac:dyDescent="0.25">
      <c r="A43" s="104">
        <f t="shared" si="0"/>
        <v>144</v>
      </c>
      <c r="B43" s="340" t="s">
        <v>390</v>
      </c>
      <c r="C43" s="52">
        <v>900032774</v>
      </c>
      <c r="D43" s="345">
        <v>43082</v>
      </c>
      <c r="E43" s="52" t="s">
        <v>391</v>
      </c>
      <c r="F43" s="341">
        <v>275017</v>
      </c>
      <c r="G43" s="349">
        <v>382917</v>
      </c>
      <c r="H43" s="346">
        <v>0</v>
      </c>
      <c r="I43" s="347">
        <v>2</v>
      </c>
      <c r="J43" s="352">
        <v>2417123143</v>
      </c>
      <c r="K43" s="106">
        <v>43117</v>
      </c>
      <c r="L43" s="106">
        <v>43117</v>
      </c>
    </row>
    <row r="44" spans="1:12" ht="23.25" customHeight="1" x14ac:dyDescent="0.25">
      <c r="A44" s="104">
        <f t="shared" si="0"/>
        <v>145</v>
      </c>
      <c r="B44" s="75" t="s">
        <v>392</v>
      </c>
      <c r="C44" s="91">
        <v>860020227</v>
      </c>
      <c r="D44" s="345">
        <v>43083</v>
      </c>
      <c r="E44" s="76" t="s">
        <v>53</v>
      </c>
      <c r="F44" s="77">
        <v>259617</v>
      </c>
      <c r="G44" s="74">
        <v>330717</v>
      </c>
      <c r="H44" s="323">
        <v>949796.56</v>
      </c>
      <c r="I44" s="92" t="s">
        <v>393</v>
      </c>
      <c r="J44" s="355">
        <v>5948725.8200000003</v>
      </c>
      <c r="K44" s="106">
        <v>43117</v>
      </c>
      <c r="L44" s="106">
        <v>43117</v>
      </c>
    </row>
    <row r="45" spans="1:12" ht="23.25" customHeight="1" x14ac:dyDescent="0.25">
      <c r="A45" s="104">
        <f t="shared" si="0"/>
        <v>146</v>
      </c>
      <c r="B45" s="79" t="s">
        <v>88</v>
      </c>
      <c r="C45" s="356">
        <v>800103052</v>
      </c>
      <c r="D45" s="345">
        <v>43083</v>
      </c>
      <c r="E45" s="356" t="s">
        <v>89</v>
      </c>
      <c r="F45" s="357">
        <v>324417</v>
      </c>
      <c r="G45" s="68">
        <v>383917</v>
      </c>
      <c r="H45" s="47">
        <v>0</v>
      </c>
      <c r="I45" s="61">
        <v>67511</v>
      </c>
      <c r="J45" s="51">
        <v>394044612.19</v>
      </c>
      <c r="K45" s="106">
        <v>43117</v>
      </c>
      <c r="L45" s="106">
        <v>43117</v>
      </c>
    </row>
    <row r="46" spans="1:12" ht="23.25" customHeight="1" x14ac:dyDescent="0.25">
      <c r="A46" s="104">
        <f t="shared" si="0"/>
        <v>147</v>
      </c>
      <c r="B46" s="34" t="s">
        <v>349</v>
      </c>
      <c r="C46" s="68">
        <v>901022873</v>
      </c>
      <c r="D46" s="345">
        <v>43083</v>
      </c>
      <c r="E46" s="50" t="s">
        <v>350</v>
      </c>
      <c r="F46" s="68">
        <v>2317</v>
      </c>
      <c r="G46" s="68">
        <v>384817</v>
      </c>
      <c r="H46" s="45">
        <v>9113047.2899999991</v>
      </c>
      <c r="I46" s="36" t="s">
        <v>394</v>
      </c>
      <c r="J46" s="321">
        <f>1945415687.24*0.5</f>
        <v>972707843.62</v>
      </c>
      <c r="K46" s="106">
        <v>43117</v>
      </c>
      <c r="L46" s="106">
        <v>43117</v>
      </c>
    </row>
    <row r="47" spans="1:12" ht="23.25" customHeight="1" x14ac:dyDescent="0.25">
      <c r="A47" s="104">
        <f t="shared" si="0"/>
        <v>148</v>
      </c>
      <c r="B47" s="34" t="s">
        <v>36</v>
      </c>
      <c r="C47" s="68" t="s">
        <v>353</v>
      </c>
      <c r="D47" s="345">
        <v>43083</v>
      </c>
      <c r="E47" s="50" t="s">
        <v>37</v>
      </c>
      <c r="F47" s="68">
        <v>2117</v>
      </c>
      <c r="G47" s="78">
        <v>384917</v>
      </c>
      <c r="H47" s="45">
        <v>9439400.0299999993</v>
      </c>
      <c r="I47" s="36" t="s">
        <v>395</v>
      </c>
      <c r="J47" s="324">
        <v>68435650.239999995</v>
      </c>
      <c r="K47" s="106">
        <v>43117</v>
      </c>
      <c r="L47" s="106">
        <v>43117</v>
      </c>
    </row>
    <row r="48" spans="1:12" ht="23.25" customHeight="1" x14ac:dyDescent="0.25">
      <c r="A48" s="104">
        <f t="shared" si="0"/>
        <v>149</v>
      </c>
      <c r="B48" s="340" t="s">
        <v>396</v>
      </c>
      <c r="C48" s="358">
        <v>890900082</v>
      </c>
      <c r="D48" s="345">
        <v>43084</v>
      </c>
      <c r="E48" s="52" t="s">
        <v>397</v>
      </c>
      <c r="F48" s="341">
        <v>259517</v>
      </c>
      <c r="G48" s="78">
        <v>386017</v>
      </c>
      <c r="H48" s="346">
        <v>157109243.69999999</v>
      </c>
      <c r="I48" s="347" t="s">
        <v>398</v>
      </c>
      <c r="J48" s="359">
        <v>984000000</v>
      </c>
      <c r="K48" s="106">
        <v>43117</v>
      </c>
      <c r="L48" s="106">
        <v>43117</v>
      </c>
    </row>
    <row r="49" spans="1:12" ht="45" customHeight="1" x14ac:dyDescent="0.25">
      <c r="A49" s="104">
        <f>A48+1</f>
        <v>150</v>
      </c>
      <c r="B49" s="33" t="s">
        <v>224</v>
      </c>
      <c r="C49" s="353">
        <v>860034604</v>
      </c>
      <c r="D49" s="345">
        <v>43084</v>
      </c>
      <c r="E49" s="53" t="s">
        <v>115</v>
      </c>
      <c r="F49" s="35">
        <v>304217</v>
      </c>
      <c r="G49" s="360" t="s">
        <v>399</v>
      </c>
      <c r="H49" s="55"/>
      <c r="I49" s="361" t="s">
        <v>225</v>
      </c>
      <c r="J49" s="56">
        <v>238484822.09999999</v>
      </c>
      <c r="K49" s="106">
        <v>43117</v>
      </c>
      <c r="L49" s="106">
        <v>43117</v>
      </c>
    </row>
    <row r="50" spans="1:12" ht="23.25" customHeight="1" x14ac:dyDescent="0.25">
      <c r="A50" s="385">
        <f t="shared" ref="A50:A75" si="1">A49+1</f>
        <v>151</v>
      </c>
      <c r="B50" s="362" t="s">
        <v>61</v>
      </c>
      <c r="C50" s="406">
        <v>900900730</v>
      </c>
      <c r="D50" s="67">
        <v>43087</v>
      </c>
      <c r="E50" s="407" t="s">
        <v>62</v>
      </c>
      <c r="F50" s="71">
        <v>3117</v>
      </c>
      <c r="G50" s="71">
        <v>405417</v>
      </c>
      <c r="H50" s="47">
        <v>0</v>
      </c>
      <c r="I50" s="408">
        <v>39</v>
      </c>
      <c r="J50" s="363">
        <f>2556268091.69-1278134045.85</f>
        <v>1278134045.8400002</v>
      </c>
      <c r="K50" s="106">
        <v>43117</v>
      </c>
      <c r="L50" s="106">
        <v>43117</v>
      </c>
    </row>
    <row r="51" spans="1:12" ht="23.25" customHeight="1" x14ac:dyDescent="0.25">
      <c r="A51" s="387"/>
      <c r="B51" s="364" t="s">
        <v>400</v>
      </c>
      <c r="C51" s="406"/>
      <c r="D51" s="67">
        <v>43087</v>
      </c>
      <c r="E51" s="407"/>
      <c r="F51" s="71">
        <v>304617</v>
      </c>
      <c r="G51" s="71">
        <v>405517</v>
      </c>
      <c r="H51" s="47">
        <v>0</v>
      </c>
      <c r="I51" s="408"/>
      <c r="J51" s="365">
        <f>1342613306.39-671306653.2</f>
        <v>671306653.19000006</v>
      </c>
      <c r="K51" s="106">
        <v>43117</v>
      </c>
      <c r="L51" s="106">
        <v>43117</v>
      </c>
    </row>
    <row r="52" spans="1:12" ht="23.25" customHeight="1" x14ac:dyDescent="0.25">
      <c r="A52" s="385">
        <f>A50+1</f>
        <v>152</v>
      </c>
      <c r="B52" s="366" t="s">
        <v>38</v>
      </c>
      <c r="C52" s="401">
        <v>900897675</v>
      </c>
      <c r="D52" s="345">
        <v>43087</v>
      </c>
      <c r="E52" s="402" t="s">
        <v>39</v>
      </c>
      <c r="F52" s="52">
        <v>3017</v>
      </c>
      <c r="G52" s="52">
        <v>405617</v>
      </c>
      <c r="H52" s="367">
        <v>0</v>
      </c>
      <c r="I52" s="404">
        <v>18</v>
      </c>
      <c r="J52" s="55">
        <v>163422075.52000001</v>
      </c>
      <c r="K52" s="106">
        <v>43117</v>
      </c>
      <c r="L52" s="106">
        <v>43117</v>
      </c>
    </row>
    <row r="53" spans="1:12" ht="23.25" customHeight="1" x14ac:dyDescent="0.25">
      <c r="A53" s="387"/>
      <c r="B53" s="33" t="s">
        <v>401</v>
      </c>
      <c r="C53" s="401"/>
      <c r="D53" s="345">
        <v>43087</v>
      </c>
      <c r="E53" s="403"/>
      <c r="F53" s="368">
        <v>304817</v>
      </c>
      <c r="G53" s="52">
        <v>405717</v>
      </c>
      <c r="H53" s="52">
        <v>0</v>
      </c>
      <c r="I53" s="405"/>
      <c r="J53" s="369">
        <v>39374882.469999999</v>
      </c>
      <c r="K53" s="106">
        <v>43117</v>
      </c>
      <c r="L53" s="106">
        <v>43117</v>
      </c>
    </row>
    <row r="54" spans="1:12" ht="23.25" customHeight="1" x14ac:dyDescent="0.25">
      <c r="A54" s="385">
        <f>A52+1</f>
        <v>153</v>
      </c>
      <c r="B54" s="35" t="s">
        <v>402</v>
      </c>
      <c r="C54" s="353">
        <v>860025792</v>
      </c>
      <c r="D54" s="345">
        <v>43087</v>
      </c>
      <c r="E54" s="370" t="s">
        <v>286</v>
      </c>
      <c r="F54" s="54">
        <v>216117</v>
      </c>
      <c r="G54" s="353" t="s">
        <v>403</v>
      </c>
      <c r="H54" s="353"/>
      <c r="I54" s="371" t="s">
        <v>404</v>
      </c>
      <c r="J54" s="70">
        <v>4455780000</v>
      </c>
      <c r="K54" s="107">
        <v>43117</v>
      </c>
      <c r="L54" s="107">
        <v>43117</v>
      </c>
    </row>
    <row r="55" spans="1:12" ht="23.25" customHeight="1" x14ac:dyDescent="0.25">
      <c r="A55" s="387"/>
      <c r="B55" s="35" t="s">
        <v>405</v>
      </c>
      <c r="C55" s="353">
        <v>860025792</v>
      </c>
      <c r="D55" s="345">
        <v>43087</v>
      </c>
      <c r="E55" s="370" t="s">
        <v>286</v>
      </c>
      <c r="F55" s="54">
        <v>281317</v>
      </c>
      <c r="G55" s="353" t="s">
        <v>406</v>
      </c>
      <c r="H55" s="353"/>
      <c r="I55" s="371" t="s">
        <v>407</v>
      </c>
      <c r="J55" s="70">
        <v>2015710000</v>
      </c>
      <c r="K55" s="107">
        <v>43117</v>
      </c>
      <c r="L55" s="107">
        <v>43117</v>
      </c>
    </row>
    <row r="56" spans="1:12" ht="23.25" customHeight="1" x14ac:dyDescent="0.25">
      <c r="A56" s="104">
        <f>A54+1</f>
        <v>154</v>
      </c>
      <c r="B56" s="83" t="s">
        <v>31</v>
      </c>
      <c r="C56" s="68">
        <v>800242107</v>
      </c>
      <c r="D56" s="67">
        <v>43087</v>
      </c>
      <c r="E56" s="84" t="s">
        <v>25</v>
      </c>
      <c r="F56" s="77">
        <v>86817</v>
      </c>
      <c r="G56" s="78">
        <v>406517</v>
      </c>
      <c r="H56" s="45">
        <v>4123102.06</v>
      </c>
      <c r="I56" s="87">
        <v>723</v>
      </c>
      <c r="J56" s="48">
        <f>542296423.39-(542296423.39*0.2)</f>
        <v>433837138.71200001</v>
      </c>
      <c r="K56" s="106">
        <v>43117</v>
      </c>
      <c r="L56" s="106">
        <v>43117</v>
      </c>
    </row>
    <row r="57" spans="1:12" ht="23.25" customHeight="1" x14ac:dyDescent="0.25">
      <c r="A57" s="104">
        <f t="shared" si="1"/>
        <v>155</v>
      </c>
      <c r="B57" s="372" t="s">
        <v>32</v>
      </c>
      <c r="C57" s="68">
        <v>890116722</v>
      </c>
      <c r="D57" s="67">
        <v>43087</v>
      </c>
      <c r="E57" s="322" t="s">
        <v>33</v>
      </c>
      <c r="F57" s="77">
        <v>69517</v>
      </c>
      <c r="G57" s="78">
        <v>406617</v>
      </c>
      <c r="H57" s="45">
        <v>4352405.0999999996</v>
      </c>
      <c r="I57" s="87">
        <v>2927</v>
      </c>
      <c r="J57" s="48">
        <v>27259800.359999999</v>
      </c>
      <c r="K57" s="106">
        <v>43117</v>
      </c>
      <c r="L57" s="106">
        <v>43117</v>
      </c>
    </row>
    <row r="58" spans="1:12" ht="23.25" customHeight="1" x14ac:dyDescent="0.25">
      <c r="A58" s="104">
        <f t="shared" si="1"/>
        <v>156</v>
      </c>
      <c r="B58" s="34" t="s">
        <v>356</v>
      </c>
      <c r="C58" s="68">
        <v>901024990</v>
      </c>
      <c r="D58" s="67">
        <v>43088</v>
      </c>
      <c r="E58" s="68" t="s">
        <v>357</v>
      </c>
      <c r="F58" s="68">
        <v>4017</v>
      </c>
      <c r="G58" s="74">
        <v>408117</v>
      </c>
      <c r="H58" s="48">
        <v>2454399.58</v>
      </c>
      <c r="I58" s="81">
        <v>9</v>
      </c>
      <c r="J58" s="48">
        <f>385955334.05-(934500000*6.77997955058074%)</f>
        <v>322596425.14982301</v>
      </c>
      <c r="K58" s="107">
        <v>43117</v>
      </c>
      <c r="L58" s="107">
        <v>43117</v>
      </c>
    </row>
    <row r="59" spans="1:12" ht="23.25" customHeight="1" x14ac:dyDescent="0.25">
      <c r="A59" s="104">
        <f t="shared" si="1"/>
        <v>157</v>
      </c>
      <c r="B59" s="35" t="s">
        <v>358</v>
      </c>
      <c r="C59" s="68">
        <v>901017447</v>
      </c>
      <c r="D59" s="67">
        <v>43088</v>
      </c>
      <c r="E59" s="68" t="s">
        <v>359</v>
      </c>
      <c r="F59" s="68">
        <v>3917</v>
      </c>
      <c r="G59" s="74">
        <v>408217</v>
      </c>
      <c r="H59" s="45">
        <v>3060081.39</v>
      </c>
      <c r="I59" s="81">
        <v>8</v>
      </c>
      <c r="J59" s="45">
        <v>22185590.109999999</v>
      </c>
      <c r="K59" s="107">
        <v>43097</v>
      </c>
      <c r="L59" s="107">
        <v>43097</v>
      </c>
    </row>
    <row r="60" spans="1:12" ht="23.25" customHeight="1" x14ac:dyDescent="0.25">
      <c r="A60" s="104">
        <f t="shared" si="1"/>
        <v>158</v>
      </c>
      <c r="B60" s="95" t="s">
        <v>109</v>
      </c>
      <c r="C60" s="76">
        <v>860001778</v>
      </c>
      <c r="D60" s="67">
        <v>43088</v>
      </c>
      <c r="E60" s="96" t="s">
        <v>110</v>
      </c>
      <c r="F60" s="94">
        <v>202317</v>
      </c>
      <c r="G60" s="97">
        <v>408317</v>
      </c>
      <c r="H60" s="373">
        <v>18955629.41</v>
      </c>
      <c r="I60" s="98">
        <v>4776</v>
      </c>
      <c r="J60" s="374">
        <v>118722099.98999999</v>
      </c>
      <c r="K60" s="107">
        <v>43117</v>
      </c>
      <c r="L60" s="107">
        <v>43117</v>
      </c>
    </row>
    <row r="61" spans="1:12" ht="23.25" customHeight="1" x14ac:dyDescent="0.25">
      <c r="A61" s="104">
        <f t="shared" si="1"/>
        <v>159</v>
      </c>
      <c r="B61" s="357" t="s">
        <v>111</v>
      </c>
      <c r="C61" s="68" t="s">
        <v>26</v>
      </c>
      <c r="D61" s="67">
        <v>43090</v>
      </c>
      <c r="E61" s="322" t="s">
        <v>27</v>
      </c>
      <c r="F61" s="99">
        <v>63117</v>
      </c>
      <c r="G61" s="78" t="s">
        <v>408</v>
      </c>
      <c r="H61" s="45">
        <v>2401809.77</v>
      </c>
      <c r="I61" s="82">
        <v>20</v>
      </c>
      <c r="J61" s="56">
        <v>36351685.130000003</v>
      </c>
      <c r="K61" s="107">
        <v>43117</v>
      </c>
      <c r="L61" s="107">
        <v>43117</v>
      </c>
    </row>
    <row r="62" spans="1:12" ht="23.25" customHeight="1" x14ac:dyDescent="0.25">
      <c r="A62" s="104">
        <f t="shared" si="1"/>
        <v>160</v>
      </c>
      <c r="B62" s="34" t="s">
        <v>112</v>
      </c>
      <c r="C62" s="68">
        <v>901017671</v>
      </c>
      <c r="D62" s="67">
        <v>43090</v>
      </c>
      <c r="E62" s="50" t="s">
        <v>28</v>
      </c>
      <c r="F62" s="375">
        <v>45517</v>
      </c>
      <c r="G62" s="78">
        <v>415317</v>
      </c>
      <c r="H62" s="48">
        <v>2337313.2999999998</v>
      </c>
      <c r="I62" s="82">
        <v>10</v>
      </c>
      <c r="J62" s="45">
        <v>1645051.69</v>
      </c>
      <c r="K62" s="107">
        <v>43119</v>
      </c>
      <c r="L62" s="107">
        <v>43119</v>
      </c>
    </row>
    <row r="63" spans="1:12" ht="23.25" customHeight="1" x14ac:dyDescent="0.25">
      <c r="A63" s="104">
        <f t="shared" si="1"/>
        <v>161</v>
      </c>
      <c r="B63" s="376" t="s">
        <v>409</v>
      </c>
      <c r="C63" s="68">
        <v>901085020</v>
      </c>
      <c r="D63" s="67">
        <v>43090</v>
      </c>
      <c r="E63" s="376" t="s">
        <v>410</v>
      </c>
      <c r="F63" s="331">
        <v>161317</v>
      </c>
      <c r="G63" s="62">
        <v>415717</v>
      </c>
      <c r="H63" s="377">
        <v>0</v>
      </c>
      <c r="I63" s="100">
        <v>7</v>
      </c>
      <c r="J63" s="378">
        <f>2569228977.33-1284614488.67</f>
        <v>1284614488.6599998</v>
      </c>
      <c r="K63" s="107">
        <v>43117</v>
      </c>
      <c r="L63" s="107">
        <v>43117</v>
      </c>
    </row>
    <row r="64" spans="1:12" ht="23.25" customHeight="1" x14ac:dyDescent="0.25">
      <c r="A64" s="104">
        <f t="shared" si="1"/>
        <v>162</v>
      </c>
      <c r="B64" s="75" t="s">
        <v>43</v>
      </c>
      <c r="C64" s="71">
        <v>830008233</v>
      </c>
      <c r="D64" s="67">
        <v>43091</v>
      </c>
      <c r="E64" s="76" t="s">
        <v>44</v>
      </c>
      <c r="F64" s="77">
        <v>69217</v>
      </c>
      <c r="G64" s="74">
        <v>418017</v>
      </c>
      <c r="H64" s="47">
        <v>2676933.17</v>
      </c>
      <c r="I64" s="88">
        <v>1013</v>
      </c>
      <c r="J64" s="48">
        <f>358878113.8-(358878113.8*0.2)</f>
        <v>287102491.04000002</v>
      </c>
      <c r="K64" s="107">
        <v>43117</v>
      </c>
      <c r="L64" s="107">
        <v>43117</v>
      </c>
    </row>
    <row r="65" spans="1:12" ht="23.25" customHeight="1" x14ac:dyDescent="0.25">
      <c r="A65" s="104">
        <f t="shared" si="1"/>
        <v>163</v>
      </c>
      <c r="B65" s="75" t="s">
        <v>45</v>
      </c>
      <c r="C65" s="71">
        <v>900837734</v>
      </c>
      <c r="D65" s="67">
        <v>43091</v>
      </c>
      <c r="E65" s="76" t="s">
        <v>46</v>
      </c>
      <c r="F65" s="77">
        <v>158817</v>
      </c>
      <c r="G65" s="74">
        <v>418117</v>
      </c>
      <c r="H65" s="47">
        <v>2914146.5</v>
      </c>
      <c r="I65" s="88">
        <v>33</v>
      </c>
      <c r="J65" s="48">
        <v>18251759.640000001</v>
      </c>
      <c r="K65" s="107">
        <v>43117</v>
      </c>
      <c r="L65" s="107">
        <v>43117</v>
      </c>
    </row>
    <row r="66" spans="1:12" ht="23.25" customHeight="1" x14ac:dyDescent="0.25">
      <c r="A66" s="104">
        <f t="shared" si="1"/>
        <v>164</v>
      </c>
      <c r="B66" s="340" t="s">
        <v>390</v>
      </c>
      <c r="C66" s="349" t="s">
        <v>411</v>
      </c>
      <c r="D66" s="67">
        <v>43091</v>
      </c>
      <c r="E66" s="52" t="s">
        <v>391</v>
      </c>
      <c r="F66" s="341">
        <v>275017</v>
      </c>
      <c r="G66" s="349">
        <v>420217</v>
      </c>
      <c r="H66" s="346">
        <v>0</v>
      </c>
      <c r="I66" s="347">
        <v>3</v>
      </c>
      <c r="J66" s="352">
        <v>1950824473</v>
      </c>
      <c r="K66" s="108"/>
      <c r="L66" s="71"/>
    </row>
    <row r="67" spans="1:12" ht="23.25" customHeight="1" x14ac:dyDescent="0.25">
      <c r="A67" s="104">
        <f t="shared" si="1"/>
        <v>165</v>
      </c>
      <c r="B67" s="83" t="s">
        <v>362</v>
      </c>
      <c r="C67" s="68">
        <v>901086911</v>
      </c>
      <c r="D67" s="67">
        <v>43091</v>
      </c>
      <c r="E67" s="83" t="s">
        <v>363</v>
      </c>
      <c r="F67" s="77">
        <v>164817</v>
      </c>
      <c r="G67" s="74">
        <v>420317</v>
      </c>
      <c r="H67" s="48">
        <v>1778719.63</v>
      </c>
      <c r="I67" s="81" t="s">
        <v>412</v>
      </c>
      <c r="J67" s="49">
        <v>34951840.649999999</v>
      </c>
      <c r="K67" s="107">
        <v>43117</v>
      </c>
      <c r="L67" s="107">
        <v>43117</v>
      </c>
    </row>
    <row r="68" spans="1:12" ht="23.25" customHeight="1" x14ac:dyDescent="0.25">
      <c r="A68" s="104">
        <f t="shared" si="1"/>
        <v>166</v>
      </c>
      <c r="B68" s="75" t="s">
        <v>368</v>
      </c>
      <c r="C68" s="71">
        <v>901090421</v>
      </c>
      <c r="D68" s="67">
        <v>43091</v>
      </c>
      <c r="E68" s="75" t="s">
        <v>369</v>
      </c>
      <c r="F68" s="328">
        <v>182417</v>
      </c>
      <c r="G68" s="74">
        <v>420417</v>
      </c>
      <c r="H68" s="47">
        <v>2025241.25</v>
      </c>
      <c r="I68" s="88">
        <v>5</v>
      </c>
      <c r="J68" s="48">
        <v>12684405.699999999</v>
      </c>
      <c r="K68" s="107">
        <v>43117</v>
      </c>
      <c r="L68" s="107">
        <v>43117</v>
      </c>
    </row>
    <row r="69" spans="1:12" ht="23.25" customHeight="1" x14ac:dyDescent="0.25">
      <c r="A69" s="104">
        <f t="shared" si="1"/>
        <v>167</v>
      </c>
      <c r="B69" s="85" t="s">
        <v>379</v>
      </c>
      <c r="C69" s="68">
        <v>901016729</v>
      </c>
      <c r="D69" s="67">
        <v>43092</v>
      </c>
      <c r="E69" s="68" t="s">
        <v>380</v>
      </c>
      <c r="F69" s="68">
        <v>3317</v>
      </c>
      <c r="G69" s="74">
        <v>420517</v>
      </c>
      <c r="H69" s="48">
        <v>9238677.4800000004</v>
      </c>
      <c r="I69" s="81">
        <v>7</v>
      </c>
      <c r="J69" s="86">
        <f>1470104554.66-(1470104554.66)*0.5</f>
        <v>735052277.33000004</v>
      </c>
      <c r="K69" s="108"/>
      <c r="L69" s="71"/>
    </row>
    <row r="70" spans="1:12" ht="23.25" customHeight="1" x14ac:dyDescent="0.25">
      <c r="A70" s="104">
        <f t="shared" si="1"/>
        <v>168</v>
      </c>
      <c r="B70" s="34" t="s">
        <v>381</v>
      </c>
      <c r="C70" s="68">
        <v>901016878</v>
      </c>
      <c r="D70" s="67">
        <v>43092</v>
      </c>
      <c r="E70" s="68" t="s">
        <v>382</v>
      </c>
      <c r="F70" s="344">
        <v>3417</v>
      </c>
      <c r="G70" s="78">
        <v>420617</v>
      </c>
      <c r="H70" s="48">
        <v>10168540.789999999</v>
      </c>
      <c r="I70" s="82">
        <v>9</v>
      </c>
      <c r="J70" s="48">
        <v>73721920.75</v>
      </c>
      <c r="K70" s="107">
        <v>43117</v>
      </c>
      <c r="L70" s="107">
        <v>43117</v>
      </c>
    </row>
    <row r="71" spans="1:12" ht="23.25" customHeight="1" x14ac:dyDescent="0.25">
      <c r="A71" s="104">
        <f t="shared" si="1"/>
        <v>169</v>
      </c>
      <c r="B71" s="379" t="s">
        <v>47</v>
      </c>
      <c r="C71" s="37">
        <v>901083477</v>
      </c>
      <c r="D71" s="67">
        <v>43095</v>
      </c>
      <c r="E71" s="84" t="s">
        <v>49</v>
      </c>
      <c r="F71" s="77">
        <v>148317</v>
      </c>
      <c r="G71" s="78">
        <v>422717</v>
      </c>
      <c r="H71" s="48">
        <v>2283698.37</v>
      </c>
      <c r="I71" s="87">
        <v>15</v>
      </c>
      <c r="J71" s="48">
        <f>305174219.29-(305174219.29*0.2)</f>
        <v>244139375.43200001</v>
      </c>
      <c r="K71" s="107">
        <v>43117</v>
      </c>
      <c r="L71" s="107">
        <v>43117</v>
      </c>
    </row>
    <row r="72" spans="1:12" ht="23.25" customHeight="1" x14ac:dyDescent="0.25">
      <c r="A72" s="104">
        <f t="shared" si="1"/>
        <v>170</v>
      </c>
      <c r="B72" s="379" t="s">
        <v>50</v>
      </c>
      <c r="C72" s="37">
        <v>79508558</v>
      </c>
      <c r="D72" s="67">
        <v>43095</v>
      </c>
      <c r="E72" s="84" t="s">
        <v>51</v>
      </c>
      <c r="F72" s="77">
        <v>146617</v>
      </c>
      <c r="G72" s="78">
        <v>388417</v>
      </c>
      <c r="H72" s="45">
        <v>3353468</v>
      </c>
      <c r="I72" s="81">
        <v>571</v>
      </c>
      <c r="J72" s="48">
        <v>21003299.559999999</v>
      </c>
      <c r="K72" s="107">
        <v>43117</v>
      </c>
      <c r="L72" s="107">
        <v>43117</v>
      </c>
    </row>
    <row r="73" spans="1:12" ht="23.25" customHeight="1" x14ac:dyDescent="0.25">
      <c r="A73" s="104">
        <f t="shared" si="1"/>
        <v>171</v>
      </c>
      <c r="B73" s="85" t="s">
        <v>379</v>
      </c>
      <c r="C73" s="37">
        <v>901016729</v>
      </c>
      <c r="D73" s="67">
        <v>43095</v>
      </c>
      <c r="E73" s="68" t="s">
        <v>380</v>
      </c>
      <c r="F73" s="68">
        <v>3317</v>
      </c>
      <c r="G73" s="74">
        <v>425117</v>
      </c>
      <c r="H73" s="48">
        <v>1925905.59</v>
      </c>
      <c r="I73" s="81">
        <v>9</v>
      </c>
      <c r="J73" s="86">
        <f>306459726.3-(306459726.3)*0.5</f>
        <v>153229863.15000001</v>
      </c>
      <c r="K73" s="107">
        <v>43117</v>
      </c>
      <c r="L73" s="107">
        <v>43117</v>
      </c>
    </row>
    <row r="74" spans="1:12" ht="23.25" customHeight="1" x14ac:dyDescent="0.25">
      <c r="A74" s="104">
        <f t="shared" si="1"/>
        <v>172</v>
      </c>
      <c r="B74" s="34" t="s">
        <v>381</v>
      </c>
      <c r="C74" s="37">
        <v>901016878</v>
      </c>
      <c r="D74" s="67">
        <v>43095</v>
      </c>
      <c r="E74" s="68" t="s">
        <v>382</v>
      </c>
      <c r="F74" s="344">
        <v>3417</v>
      </c>
      <c r="G74" s="78">
        <v>425217</v>
      </c>
      <c r="H74" s="48">
        <v>2119745.9900000002</v>
      </c>
      <c r="I74" s="82">
        <v>10</v>
      </c>
      <c r="J74" s="48">
        <v>15368158.4</v>
      </c>
      <c r="K74" s="107">
        <v>43117</v>
      </c>
      <c r="L74" s="107">
        <v>43117</v>
      </c>
    </row>
    <row r="75" spans="1:12" ht="23.25" customHeight="1" x14ac:dyDescent="0.25">
      <c r="A75" s="104">
        <f t="shared" si="1"/>
        <v>173</v>
      </c>
      <c r="B75" s="75" t="s">
        <v>388</v>
      </c>
      <c r="C75" s="52">
        <v>900372035</v>
      </c>
      <c r="D75" s="67">
        <v>43095</v>
      </c>
      <c r="E75" s="75" t="s">
        <v>389</v>
      </c>
      <c r="F75" s="328">
        <v>214817</v>
      </c>
      <c r="G75" s="78">
        <v>426617</v>
      </c>
      <c r="H75" s="48">
        <v>0</v>
      </c>
      <c r="I75" s="82">
        <v>672</v>
      </c>
      <c r="J75" s="48">
        <v>46280000</v>
      </c>
      <c r="K75" s="107">
        <v>43117</v>
      </c>
      <c r="L75" s="107">
        <v>43117</v>
      </c>
    </row>
  </sheetData>
  <mergeCells count="28">
    <mergeCell ref="A11:A12"/>
    <mergeCell ref="A24:A25"/>
    <mergeCell ref="A8:H8"/>
    <mergeCell ref="A1:K1"/>
    <mergeCell ref="A2:K2"/>
    <mergeCell ref="A3:K3"/>
    <mergeCell ref="A5:K5"/>
    <mergeCell ref="A7:K7"/>
    <mergeCell ref="C24:C25"/>
    <mergeCell ref="D24:D25"/>
    <mergeCell ref="E24:E25"/>
    <mergeCell ref="A28:A29"/>
    <mergeCell ref="I28:I29"/>
    <mergeCell ref="A31:A32"/>
    <mergeCell ref="C31:C32"/>
    <mergeCell ref="D31:D32"/>
    <mergeCell ref="E31:E32"/>
    <mergeCell ref="I31:I32"/>
    <mergeCell ref="A35:A37"/>
    <mergeCell ref="A50:A51"/>
    <mergeCell ref="C50:C51"/>
    <mergeCell ref="E50:E51"/>
    <mergeCell ref="I50:I51"/>
    <mergeCell ref="A52:A53"/>
    <mergeCell ref="C52:C53"/>
    <mergeCell ref="E52:E53"/>
    <mergeCell ref="I52:I53"/>
    <mergeCell ref="A54:A55"/>
  </mergeCells>
  <conditionalFormatting sqref="J17">
    <cfRule type="iconSet" priority="16">
      <iconSet>
        <cfvo type="percent" val="0"/>
        <cfvo type="num" val="&quot;42954671.99&quot;"/>
        <cfvo type="num" val="50180738"/>
      </iconSet>
    </cfRule>
  </conditionalFormatting>
  <conditionalFormatting sqref="J19">
    <cfRule type="iconSet" priority="15">
      <iconSet>
        <cfvo type="percent" val="0"/>
        <cfvo type="num" val="&quot;42954671.99&quot;"/>
        <cfvo type="num" val="50180738"/>
      </iconSet>
    </cfRule>
  </conditionalFormatting>
  <conditionalFormatting sqref="J20">
    <cfRule type="iconSet" priority="14">
      <iconSet>
        <cfvo type="percent" val="0"/>
        <cfvo type="num" val="&quot;42954671.99&quot;"/>
        <cfvo type="num" val="50180738"/>
      </iconSet>
    </cfRule>
  </conditionalFormatting>
  <conditionalFormatting sqref="J21">
    <cfRule type="iconSet" priority="13">
      <iconSet>
        <cfvo type="percent" val="0"/>
        <cfvo type="num" val="&quot;42954671.99&quot;"/>
        <cfvo type="num" val="50180738"/>
      </iconSet>
    </cfRule>
  </conditionalFormatting>
  <conditionalFormatting sqref="J22">
    <cfRule type="iconSet" priority="12">
      <iconSet>
        <cfvo type="percent" val="0"/>
        <cfvo type="num" val="&quot;42954671.99&quot;"/>
        <cfvo type="num" val="50180738"/>
      </iconSet>
    </cfRule>
  </conditionalFormatting>
  <conditionalFormatting sqref="J26">
    <cfRule type="iconSet" priority="11">
      <iconSet>
        <cfvo type="percent" val="0"/>
        <cfvo type="num" val="&quot;42954671.99&quot;"/>
        <cfvo type="num" val="50180738"/>
      </iconSet>
    </cfRule>
  </conditionalFormatting>
  <conditionalFormatting sqref="J72">
    <cfRule type="iconSet" priority="10">
      <iconSet>
        <cfvo type="percent" val="0"/>
        <cfvo type="num" val="&quot;42954671.99&quot;"/>
        <cfvo type="num" val="50180738"/>
      </iconSet>
    </cfRule>
  </conditionalFormatting>
  <conditionalFormatting sqref="J71">
    <cfRule type="iconSet" priority="9">
      <iconSet>
        <cfvo type="percent" val="0"/>
        <cfvo type="num" val="&quot;42954671.99&quot;"/>
        <cfvo type="num" val="50180738"/>
      </iconSet>
    </cfRule>
  </conditionalFormatting>
  <conditionalFormatting sqref="J52">
    <cfRule type="iconSet" priority="8">
      <iconSet>
        <cfvo type="percent" val="0"/>
        <cfvo type="num" val="&quot;42954671.99&quot;"/>
        <cfvo type="num" val="50180738"/>
      </iconSet>
    </cfRule>
  </conditionalFormatting>
  <conditionalFormatting sqref="J53">
    <cfRule type="iconSet" priority="7">
      <iconSet>
        <cfvo type="percent" val="0"/>
        <cfvo type="num" val="&quot;42954671.99&quot;"/>
        <cfvo type="num" val="50180738"/>
      </iconSet>
    </cfRule>
  </conditionalFormatting>
  <conditionalFormatting sqref="J56">
    <cfRule type="iconSet" priority="6">
      <iconSet>
        <cfvo type="percent" val="0"/>
        <cfvo type="num" val="&quot;42954671.99&quot;"/>
        <cfvo type="num" val="50180738"/>
      </iconSet>
    </cfRule>
  </conditionalFormatting>
  <conditionalFormatting sqref="J57">
    <cfRule type="iconSet" priority="5">
      <iconSet>
        <cfvo type="percent" val="0"/>
        <cfvo type="num" val="&quot;42954671.99&quot;"/>
        <cfvo type="num" val="50180738"/>
      </iconSet>
    </cfRule>
  </conditionalFormatting>
  <conditionalFormatting sqref="J58">
    <cfRule type="iconSet" priority="4">
      <iconSet>
        <cfvo type="percent" val="0"/>
        <cfvo type="num" val="&quot;42954671.99&quot;"/>
        <cfvo type="num" val="50180738"/>
      </iconSet>
    </cfRule>
  </conditionalFormatting>
  <conditionalFormatting sqref="J64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65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68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GASTOS GENER CSF vig 2018</vt:lpstr>
      <vt:lpstr>GASTOS GENER CSF </vt:lpstr>
      <vt:lpstr>GASTOS GENER SSF</vt:lpstr>
      <vt:lpstr>INVERSION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NORMA EMILCE BONILLA ROJAS</cp:lastModifiedBy>
  <dcterms:created xsi:type="dcterms:W3CDTF">2016-02-11T21:54:09Z</dcterms:created>
  <dcterms:modified xsi:type="dcterms:W3CDTF">2018-02-06T14:56:22Z</dcterms:modified>
</cp:coreProperties>
</file>